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victoraberg/Downloads/"/>
    </mc:Choice>
  </mc:AlternateContent>
  <xr:revisionPtr revIDLastSave="0" documentId="8_{EF602ADE-F873-B64E-B964-216D5A395C2E}" xr6:coauthVersionLast="47" xr6:coauthVersionMax="47" xr10:uidLastSave="{00000000-0000-0000-0000-000000000000}"/>
  <bookViews>
    <workbookView xWindow="0" yWindow="660" windowWidth="29400" windowHeight="17160" activeTab="8" xr2:uid="{00000000-000D-0000-FFFF-FFFF00000000}"/>
  </bookViews>
  <sheets>
    <sheet name="Grid" sheetId="1" r:id="rId1"/>
    <sheet name="Bridge YTD" sheetId="2" r:id="rId2"/>
    <sheet name="Table A" sheetId="3" r:id="rId3"/>
    <sheet name="Table B" sheetId="4" r:id="rId4"/>
    <sheet name="Table C" sheetId="5" r:id="rId5"/>
    <sheet name="Table D" sheetId="6" r:id="rId6"/>
    <sheet name="Table E" sheetId="7" r:id="rId7"/>
    <sheet name="Table F" sheetId="8" r:id="rId8"/>
    <sheet name="Table G" sheetId="9" r:id="rId9"/>
    <sheet name="Table H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6" l="1"/>
  <c r="J14" i="6"/>
  <c r="C66" i="10"/>
  <c r="D10" i="10"/>
  <c r="C10" i="10"/>
  <c r="B9" i="10"/>
  <c r="D7" i="10"/>
  <c r="C7" i="10"/>
  <c r="B6" i="10"/>
  <c r="D5" i="10"/>
  <c r="C5" i="10"/>
  <c r="B5" i="10"/>
  <c r="D4" i="10"/>
  <c r="C4" i="10"/>
  <c r="B4" i="10"/>
  <c r="D3" i="10"/>
  <c r="B3" i="10"/>
  <c r="B27" i="9"/>
  <c r="D8" i="10" s="1"/>
  <c r="B26" i="9"/>
  <c r="C8" i="10" s="1"/>
  <c r="B25" i="9"/>
  <c r="B3" i="9"/>
  <c r="B4" i="9" s="1"/>
  <c r="C24" i="8"/>
  <c r="C16" i="8"/>
  <c r="J12" i="8"/>
  <c r="I12" i="8"/>
  <c r="H12" i="8"/>
  <c r="G12" i="8"/>
  <c r="F12" i="8"/>
  <c r="E12" i="8"/>
  <c r="D12" i="8"/>
  <c r="C12" i="8"/>
  <c r="J2" i="8"/>
  <c r="J8" i="8" s="1"/>
  <c r="I2" i="8"/>
  <c r="I8" i="8" s="1"/>
  <c r="H2" i="8"/>
  <c r="H8" i="8" s="1"/>
  <c r="G2" i="8"/>
  <c r="G8" i="8" s="1"/>
  <c r="F2" i="8"/>
  <c r="F8" i="8" s="1"/>
  <c r="E2" i="8"/>
  <c r="E8" i="8" s="1"/>
  <c r="D2" i="8"/>
  <c r="D8" i="8" s="1"/>
  <c r="C2" i="8"/>
  <c r="B9" i="7"/>
  <c r="C9" i="7" s="1"/>
  <c r="B8" i="7"/>
  <c r="C8" i="7" s="1"/>
  <c r="B7" i="7"/>
  <c r="C7" i="7" s="1"/>
  <c r="B6" i="7"/>
  <c r="B4" i="7"/>
  <c r="C4" i="7" s="1"/>
  <c r="B3" i="7"/>
  <c r="C3" i="7" s="1"/>
  <c r="B2" i="7"/>
  <c r="L11" i="6"/>
  <c r="L10" i="6"/>
  <c r="L9" i="6"/>
  <c r="L8" i="6"/>
  <c r="L7" i="6"/>
  <c r="L6" i="6"/>
  <c r="J3" i="6"/>
  <c r="I3" i="6"/>
  <c r="H3" i="6"/>
  <c r="G3" i="6"/>
  <c r="F3" i="6"/>
  <c r="E3" i="6"/>
  <c r="D3" i="6"/>
  <c r="C3" i="6"/>
  <c r="G2" i="6"/>
  <c r="G13" i="6" s="1"/>
  <c r="F2" i="6"/>
  <c r="F13" i="6" s="1"/>
  <c r="E2" i="6"/>
  <c r="E13" i="6" s="1"/>
  <c r="D2" i="6"/>
  <c r="D13" i="6" s="1"/>
  <c r="C2" i="6"/>
  <c r="C13" i="6" s="1"/>
  <c r="N29" i="5"/>
  <c r="L29" i="5"/>
  <c r="I29" i="5"/>
  <c r="F29" i="5"/>
  <c r="X28" i="5"/>
  <c r="W28" i="5"/>
  <c r="V28" i="5"/>
  <c r="U28" i="5"/>
  <c r="T28" i="5"/>
  <c r="S28" i="5"/>
  <c r="N28" i="5"/>
  <c r="L28" i="5"/>
  <c r="I28" i="5"/>
  <c r="F28" i="5"/>
  <c r="N27" i="5"/>
  <c r="L27" i="5"/>
  <c r="I27" i="5"/>
  <c r="F27" i="5"/>
  <c r="N21" i="5"/>
  <c r="L21" i="5"/>
  <c r="I21" i="5"/>
  <c r="F21" i="5"/>
  <c r="N20" i="5"/>
  <c r="L20" i="5"/>
  <c r="I20" i="5"/>
  <c r="F20" i="5"/>
  <c r="N19" i="5"/>
  <c r="L19" i="5"/>
  <c r="I19" i="5"/>
  <c r="F19" i="5"/>
  <c r="N13" i="5"/>
  <c r="L13" i="5"/>
  <c r="I13" i="5"/>
  <c r="F13" i="5"/>
  <c r="N12" i="5"/>
  <c r="L12" i="5"/>
  <c r="I12" i="5"/>
  <c r="F12" i="5"/>
  <c r="N11" i="5"/>
  <c r="L11" i="5"/>
  <c r="I11" i="5"/>
  <c r="F11" i="5"/>
  <c r="N5" i="5"/>
  <c r="L5" i="5"/>
  <c r="I5" i="5"/>
  <c r="F5" i="5"/>
  <c r="N4" i="5"/>
  <c r="L4" i="5"/>
  <c r="I4" i="5"/>
  <c r="F4" i="5"/>
  <c r="N3" i="5"/>
  <c r="L3" i="5"/>
  <c r="I3" i="5"/>
  <c r="F3" i="5"/>
  <c r="B81" i="4"/>
  <c r="B80" i="4"/>
  <c r="B77" i="4"/>
  <c r="J65" i="4"/>
  <c r="I65" i="4"/>
  <c r="H65" i="4"/>
  <c r="G65" i="4"/>
  <c r="F65" i="4"/>
  <c r="E65" i="4"/>
  <c r="D65" i="4"/>
  <c r="C65" i="4"/>
  <c r="C9" i="10" s="1"/>
  <c r="J59" i="4"/>
  <c r="I59" i="4"/>
  <c r="H59" i="4"/>
  <c r="G59" i="4"/>
  <c r="F59" i="4"/>
  <c r="E59" i="4"/>
  <c r="D59" i="4"/>
  <c r="C59" i="4"/>
  <c r="C3" i="10" s="1"/>
  <c r="J56" i="4"/>
  <c r="I56" i="4"/>
  <c r="H56" i="4"/>
  <c r="G56" i="4"/>
  <c r="F56" i="4"/>
  <c r="E56" i="4"/>
  <c r="D56" i="4"/>
  <c r="C56" i="4"/>
  <c r="J46" i="4"/>
  <c r="J47" i="4" s="1"/>
  <c r="J48" i="4" s="1"/>
  <c r="I46" i="4"/>
  <c r="I47" i="4" s="1"/>
  <c r="H46" i="4"/>
  <c r="H47" i="4" s="1"/>
  <c r="G46" i="4"/>
  <c r="G47" i="4" s="1"/>
  <c r="F46" i="4"/>
  <c r="F47" i="4" s="1"/>
  <c r="E46" i="4"/>
  <c r="E47" i="4" s="1"/>
  <c r="D46" i="4"/>
  <c r="D47" i="4" s="1"/>
  <c r="C46" i="4"/>
  <c r="C47" i="4" s="1"/>
  <c r="J43" i="4"/>
  <c r="J44" i="4" s="1"/>
  <c r="I43" i="4"/>
  <c r="I44" i="4" s="1"/>
  <c r="H43" i="4"/>
  <c r="H44" i="4" s="1"/>
  <c r="G43" i="4"/>
  <c r="G44" i="4" s="1"/>
  <c r="F43" i="4"/>
  <c r="F44" i="4" s="1"/>
  <c r="E43" i="4"/>
  <c r="E44" i="4" s="1"/>
  <c r="D43" i="4"/>
  <c r="D44" i="4" s="1"/>
  <c r="C43" i="4"/>
  <c r="C44" i="4" s="1"/>
  <c r="J16" i="4"/>
  <c r="I16" i="4"/>
  <c r="H16" i="4"/>
  <c r="G16" i="4"/>
  <c r="G18" i="4" s="1"/>
  <c r="F16" i="4"/>
  <c r="F18" i="4" s="1"/>
  <c r="E16" i="4"/>
  <c r="E18" i="4" s="1"/>
  <c r="D16" i="4"/>
  <c r="D18" i="4" s="1"/>
  <c r="C16" i="4"/>
  <c r="C18" i="4" s="1"/>
  <c r="J12" i="4"/>
  <c r="I12" i="4"/>
  <c r="H12" i="4"/>
  <c r="G12" i="4"/>
  <c r="F12" i="4"/>
  <c r="E12" i="4"/>
  <c r="D12" i="4"/>
  <c r="C12" i="4"/>
  <c r="J9" i="4"/>
  <c r="J54" i="4" s="1"/>
  <c r="I9" i="4"/>
  <c r="I54" i="4" s="1"/>
  <c r="H9" i="4"/>
  <c r="H54" i="4" s="1"/>
  <c r="G9" i="4"/>
  <c r="G54" i="4" s="1"/>
  <c r="F9" i="4"/>
  <c r="F54" i="4" s="1"/>
  <c r="E9" i="4"/>
  <c r="E54" i="4" s="1"/>
  <c r="D9" i="4"/>
  <c r="D54" i="4" s="1"/>
  <c r="C9" i="4"/>
  <c r="C54" i="4" s="1"/>
  <c r="J6" i="4"/>
  <c r="J74" i="4" s="1"/>
  <c r="I6" i="4"/>
  <c r="I74" i="4" s="1"/>
  <c r="H6" i="4"/>
  <c r="H74" i="4" s="1"/>
  <c r="G6" i="4"/>
  <c r="G74" i="4" s="1"/>
  <c r="F6" i="4"/>
  <c r="F74" i="4" s="1"/>
  <c r="E6" i="4"/>
  <c r="E74" i="4" s="1"/>
  <c r="D6" i="4"/>
  <c r="D74" i="4" s="1"/>
  <c r="C6" i="4"/>
  <c r="C74" i="4" s="1"/>
  <c r="L21" i="3"/>
  <c r="K21" i="3"/>
  <c r="C21" i="3"/>
  <c r="L20" i="3"/>
  <c r="K20" i="3"/>
  <c r="L17" i="3"/>
  <c r="K17" i="3"/>
  <c r="L16" i="3"/>
  <c r="K16" i="3"/>
  <c r="L14" i="3"/>
  <c r="K14" i="3"/>
  <c r="C14" i="3"/>
  <c r="L13" i="3"/>
  <c r="K13" i="3"/>
  <c r="C13" i="3"/>
  <c r="L11" i="3"/>
  <c r="K11" i="3"/>
  <c r="L10" i="3"/>
  <c r="K10" i="3"/>
  <c r="L8" i="3"/>
  <c r="K8" i="3"/>
  <c r="L7" i="3"/>
  <c r="K7" i="3"/>
  <c r="L5" i="3"/>
  <c r="K5" i="3"/>
  <c r="C5" i="3"/>
  <c r="L4" i="3"/>
  <c r="K4" i="3"/>
  <c r="C4" i="3"/>
  <c r="E8" i="2"/>
  <c r="F8" i="2" s="1"/>
  <c r="G8" i="2" s="1"/>
  <c r="D8" i="2"/>
  <c r="E7" i="2"/>
  <c r="F7" i="2" s="1"/>
  <c r="G7" i="2" s="1"/>
  <c r="D7" i="2"/>
  <c r="E6" i="2"/>
  <c r="F6" i="2" s="1"/>
  <c r="D6" i="2"/>
  <c r="D5" i="2"/>
  <c r="E4" i="2"/>
  <c r="F4" i="2" s="1"/>
  <c r="C4" i="2"/>
  <c r="D4" i="2" s="1"/>
  <c r="B4" i="2"/>
  <c r="E3" i="2"/>
  <c r="F3" i="2" s="1"/>
  <c r="G3" i="2" s="1"/>
  <c r="D3" i="2"/>
  <c r="E2" i="2"/>
  <c r="F2" i="2" s="1"/>
  <c r="D2" i="2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D32" i="10" l="1"/>
  <c r="D26" i="10"/>
  <c r="D35" i="10"/>
  <c r="D36" i="10" s="1"/>
  <c r="D27" i="10"/>
  <c r="D28" i="10"/>
  <c r="D34" i="10"/>
  <c r="D29" i="10"/>
  <c r="D30" i="10"/>
  <c r="D31" i="10" s="1"/>
  <c r="D33" i="10"/>
  <c r="C26" i="10"/>
  <c r="C33" i="10"/>
  <c r="C32" i="10"/>
  <c r="C31" i="10"/>
  <c r="C30" i="10"/>
  <c r="C34" i="10"/>
  <c r="C29" i="10"/>
  <c r="C28" i="10"/>
  <c r="C35" i="10"/>
  <c r="C36" i="10" s="1"/>
  <c r="C27" i="10"/>
  <c r="B33" i="10"/>
  <c r="B32" i="10"/>
  <c r="B31" i="10"/>
  <c r="B34" i="10"/>
  <c r="B30" i="10"/>
  <c r="B29" i="10"/>
  <c r="B35" i="10"/>
  <c r="B36" i="10" s="1"/>
  <c r="B28" i="10"/>
  <c r="B27" i="10"/>
  <c r="B26" i="10"/>
  <c r="J20" i="8"/>
  <c r="H20" i="8"/>
  <c r="G20" i="8"/>
  <c r="F20" i="8"/>
  <c r="E20" i="8"/>
  <c r="D20" i="8"/>
  <c r="C20" i="8"/>
  <c r="J19" i="8"/>
  <c r="I19" i="8"/>
  <c r="H19" i="8"/>
  <c r="G19" i="8"/>
  <c r="F19" i="8"/>
  <c r="E19" i="8"/>
  <c r="D19" i="8"/>
  <c r="C19" i="8"/>
  <c r="I20" i="8"/>
  <c r="J9" i="8"/>
  <c r="J18" i="8"/>
  <c r="I9" i="8"/>
  <c r="I18" i="8"/>
  <c r="H9" i="8"/>
  <c r="H18" i="8"/>
  <c r="G9" i="8"/>
  <c r="G18" i="8"/>
  <c r="F9" i="8"/>
  <c r="F18" i="8"/>
  <c r="E9" i="8"/>
  <c r="E18" i="8"/>
  <c r="D18" i="8"/>
  <c r="D9" i="8"/>
  <c r="C23" i="8"/>
  <c r="C25" i="8" s="1"/>
  <c r="C26" i="8" s="1"/>
  <c r="C8" i="8"/>
  <c r="C6" i="7"/>
  <c r="B10" i="7"/>
  <c r="B5" i="7"/>
  <c r="C5" i="7" s="1"/>
  <c r="C2" i="7"/>
  <c r="V29" i="5"/>
  <c r="X29" i="5"/>
  <c r="W29" i="5"/>
  <c r="U29" i="5"/>
  <c r="T29" i="5"/>
  <c r="S29" i="5"/>
  <c r="R29" i="5"/>
  <c r="Q29" i="5"/>
  <c r="P29" i="5"/>
  <c r="O29" i="5"/>
  <c r="O28" i="5"/>
  <c r="P28" i="5"/>
  <c r="Q28" i="5"/>
  <c r="R28" i="5"/>
  <c r="W27" i="5"/>
  <c r="X27" i="5"/>
  <c r="V27" i="5"/>
  <c r="U27" i="5"/>
  <c r="T27" i="5"/>
  <c r="S27" i="5"/>
  <c r="R27" i="5"/>
  <c r="Q27" i="5"/>
  <c r="P27" i="5"/>
  <c r="O27" i="5"/>
  <c r="V21" i="5"/>
  <c r="X21" i="5"/>
  <c r="W21" i="5"/>
  <c r="T21" i="5"/>
  <c r="S21" i="5"/>
  <c r="R21" i="5"/>
  <c r="Q21" i="5"/>
  <c r="P21" i="5"/>
  <c r="O21" i="5"/>
  <c r="U21" i="5"/>
  <c r="X20" i="5"/>
  <c r="W20" i="5"/>
  <c r="V20" i="5"/>
  <c r="Q20" i="5"/>
  <c r="U20" i="5"/>
  <c r="O20" i="5"/>
  <c r="T20" i="5"/>
  <c r="S20" i="5"/>
  <c r="R20" i="5"/>
  <c r="P20" i="5"/>
  <c r="V19" i="5"/>
  <c r="W19" i="5"/>
  <c r="X19" i="5"/>
  <c r="R19" i="5"/>
  <c r="O19" i="5"/>
  <c r="P19" i="5"/>
  <c r="Q19" i="5"/>
  <c r="U19" i="5"/>
  <c r="T19" i="5"/>
  <c r="S19" i="5"/>
  <c r="W13" i="5"/>
  <c r="V13" i="5"/>
  <c r="X13" i="5"/>
  <c r="S13" i="5"/>
  <c r="U13" i="5"/>
  <c r="R13" i="5"/>
  <c r="T13" i="5"/>
  <c r="Q13" i="5"/>
  <c r="P13" i="5"/>
  <c r="O13" i="5"/>
  <c r="X12" i="5"/>
  <c r="W12" i="5"/>
  <c r="V12" i="5"/>
  <c r="U12" i="5"/>
  <c r="S12" i="5"/>
  <c r="R12" i="5"/>
  <c r="T12" i="5"/>
  <c r="O12" i="5"/>
  <c r="P12" i="5"/>
  <c r="Q12" i="5"/>
  <c r="V11" i="5"/>
  <c r="W11" i="5"/>
  <c r="X11" i="5"/>
  <c r="P11" i="5"/>
  <c r="U11" i="5"/>
  <c r="Q11" i="5"/>
  <c r="R11" i="5"/>
  <c r="S11" i="5"/>
  <c r="T11" i="5"/>
  <c r="O11" i="5"/>
  <c r="V5" i="5"/>
  <c r="W5" i="5"/>
  <c r="X5" i="5"/>
  <c r="O5" i="5"/>
  <c r="P5" i="5"/>
  <c r="Q5" i="5"/>
  <c r="R5" i="5"/>
  <c r="S5" i="5"/>
  <c r="T5" i="5"/>
  <c r="U5" i="5"/>
  <c r="V4" i="5"/>
  <c r="X4" i="5"/>
  <c r="W4" i="5"/>
  <c r="S4" i="5"/>
  <c r="R4" i="5"/>
  <c r="Q4" i="5"/>
  <c r="P4" i="5"/>
  <c r="T4" i="5"/>
  <c r="U4" i="5"/>
  <c r="O4" i="5"/>
  <c r="W3" i="5"/>
  <c r="V3" i="5"/>
  <c r="X3" i="5"/>
  <c r="D38" i="5" s="1"/>
  <c r="U3" i="5"/>
  <c r="H34" i="5" s="1"/>
  <c r="T3" i="5"/>
  <c r="G34" i="5" s="1"/>
  <c r="S3" i="5"/>
  <c r="F34" i="5" s="1"/>
  <c r="R3" i="5"/>
  <c r="E34" i="5" s="1"/>
  <c r="E35" i="5" s="1"/>
  <c r="Q3" i="5"/>
  <c r="D34" i="5" s="1"/>
  <c r="P3" i="5"/>
  <c r="C34" i="5" s="1"/>
  <c r="O3" i="5"/>
  <c r="B34" i="5" s="1"/>
  <c r="I48" i="4"/>
  <c r="J50" i="4" s="1"/>
  <c r="J49" i="4"/>
  <c r="H48" i="4"/>
  <c r="I50" i="4" s="1"/>
  <c r="I49" i="4"/>
  <c r="G48" i="4"/>
  <c r="H50" i="4" s="1"/>
  <c r="H49" i="4"/>
  <c r="F48" i="4"/>
  <c r="G49" i="4"/>
  <c r="E48" i="4"/>
  <c r="F50" i="4" s="1"/>
  <c r="F49" i="4"/>
  <c r="D48" i="4"/>
  <c r="E50" i="4" s="1"/>
  <c r="E49" i="4"/>
  <c r="C48" i="4"/>
  <c r="D50" i="4" s="1"/>
  <c r="D49" i="4"/>
  <c r="J45" i="4"/>
  <c r="J58" i="4"/>
  <c r="J60" i="4"/>
  <c r="B79" i="4"/>
  <c r="J10" i="8"/>
  <c r="J11" i="8" s="1"/>
  <c r="I45" i="4"/>
  <c r="I58" i="4"/>
  <c r="I60" i="4"/>
  <c r="I10" i="8"/>
  <c r="I11" i="8" s="1"/>
  <c r="H45" i="4"/>
  <c r="H58" i="4"/>
  <c r="H60" i="4"/>
  <c r="H10" i="8"/>
  <c r="H11" i="8" s="1"/>
  <c r="G45" i="4"/>
  <c r="G58" i="4"/>
  <c r="G60" i="4"/>
  <c r="G10" i="8"/>
  <c r="G11" i="8" s="1"/>
  <c r="F45" i="4"/>
  <c r="F58" i="4"/>
  <c r="F60" i="4"/>
  <c r="F10" i="8"/>
  <c r="F11" i="8" s="1"/>
  <c r="E45" i="4"/>
  <c r="E58" i="4"/>
  <c r="E60" i="4"/>
  <c r="E10" i="8"/>
  <c r="E11" i="8" s="1"/>
  <c r="D45" i="4"/>
  <c r="D58" i="4"/>
  <c r="D60" i="4"/>
  <c r="D10" i="8"/>
  <c r="D11" i="8" s="1"/>
  <c r="C45" i="4"/>
  <c r="C58" i="4"/>
  <c r="C60" i="4"/>
  <c r="C10" i="8"/>
  <c r="J18" i="4"/>
  <c r="B5" i="9" s="1"/>
  <c r="B9" i="9" s="1"/>
  <c r="J19" i="4"/>
  <c r="I18" i="4"/>
  <c r="I19" i="4"/>
  <c r="I2" i="6" s="1"/>
  <c r="I13" i="6" s="1"/>
  <c r="H18" i="4"/>
  <c r="H19" i="4"/>
  <c r="H2" i="6" s="1"/>
  <c r="H13" i="6" s="1"/>
  <c r="J55" i="4"/>
  <c r="J57" i="4"/>
  <c r="J51" i="4"/>
  <c r="I51" i="4"/>
  <c r="I57" i="4"/>
  <c r="I55" i="4"/>
  <c r="H51" i="4"/>
  <c r="H57" i="4"/>
  <c r="H55" i="4"/>
  <c r="G57" i="4"/>
  <c r="G55" i="4"/>
  <c r="G51" i="4"/>
  <c r="F55" i="4"/>
  <c r="F51" i="4"/>
  <c r="F57" i="4"/>
  <c r="E51" i="4"/>
  <c r="E57" i="4"/>
  <c r="E55" i="4"/>
  <c r="D57" i="4"/>
  <c r="D55" i="4"/>
  <c r="D51" i="4"/>
  <c r="C55" i="4"/>
  <c r="C57" i="4"/>
  <c r="C51" i="4"/>
  <c r="G6" i="2"/>
  <c r="B14" i="9"/>
  <c r="G4" i="2"/>
  <c r="D9" i="10"/>
  <c r="G2" i="2"/>
  <c r="B13" i="10"/>
  <c r="C13" i="10"/>
  <c r="D13" i="10"/>
  <c r="B14" i="10"/>
  <c r="C14" i="10"/>
  <c r="D14" i="10"/>
  <c r="B15" i="10"/>
  <c r="C15" i="10"/>
  <c r="D15" i="10"/>
  <c r="B16" i="10"/>
  <c r="C16" i="10"/>
  <c r="D16" i="10"/>
  <c r="B17" i="10"/>
  <c r="C17" i="10"/>
  <c r="D17" i="10"/>
  <c r="C9" i="8" l="1"/>
  <c r="C27" i="8" s="1"/>
  <c r="C18" i="8"/>
  <c r="D2" i="10"/>
  <c r="B2" i="10"/>
  <c r="C2" i="10"/>
  <c r="B12" i="9"/>
  <c r="B18" i="9" s="1"/>
  <c r="B70" i="10"/>
  <c r="B78" i="4"/>
  <c r="E5" i="2"/>
  <c r="F5" i="2" s="1"/>
  <c r="J2" i="6"/>
  <c r="J61" i="4"/>
  <c r="J62" i="4"/>
  <c r="J63" i="4"/>
  <c r="J64" i="4"/>
  <c r="I61" i="4"/>
  <c r="I62" i="4"/>
  <c r="I63" i="4"/>
  <c r="I64" i="4"/>
  <c r="H61" i="4"/>
  <c r="H62" i="4"/>
  <c r="H63" i="4"/>
  <c r="H64" i="4"/>
  <c r="G61" i="4"/>
  <c r="G63" i="4"/>
  <c r="F61" i="4"/>
  <c r="F62" i="4"/>
  <c r="F63" i="4"/>
  <c r="E61" i="4"/>
  <c r="E62" i="4"/>
  <c r="D61" i="4"/>
  <c r="D62" i="4"/>
  <c r="F102" i="1"/>
  <c r="B103" i="1"/>
  <c r="C25" i="9" s="1" a="1"/>
  <c r="C25" i="9" s="1"/>
  <c r="D103" i="1"/>
  <c r="C26" i="9" s="1" a="1"/>
  <c r="C26" i="9" s="1"/>
  <c r="F103" i="1"/>
  <c r="C27" i="9" s="1" a="1"/>
  <c r="C27" i="9" s="1"/>
  <c r="B104" i="1"/>
  <c r="C108" i="1"/>
  <c r="D108" i="1"/>
  <c r="E108" i="1"/>
  <c r="F108" i="1"/>
  <c r="G108" i="1"/>
  <c r="B109" i="1"/>
  <c r="C109" i="1"/>
  <c r="D109" i="1"/>
  <c r="E109" i="1"/>
  <c r="F109" i="1"/>
  <c r="G109" i="1"/>
  <c r="B110" i="1"/>
  <c r="C110" i="1"/>
  <c r="D110" i="1"/>
  <c r="E110" i="1"/>
  <c r="F110" i="1"/>
  <c r="G110" i="1"/>
  <c r="B111" i="1"/>
  <c r="C111" i="1"/>
  <c r="D111" i="1"/>
  <c r="E111" i="1"/>
  <c r="F111" i="1"/>
  <c r="G111" i="1"/>
  <c r="B112" i="1"/>
  <c r="C112" i="1"/>
  <c r="D112" i="1"/>
  <c r="E112" i="1"/>
  <c r="F112" i="1"/>
  <c r="G112" i="1"/>
  <c r="B113" i="1"/>
  <c r="C113" i="1"/>
  <c r="D113" i="1"/>
  <c r="E113" i="1"/>
  <c r="F113" i="1"/>
  <c r="G113" i="1"/>
  <c r="B114" i="1"/>
  <c r="C114" i="1"/>
  <c r="D114" i="1"/>
  <c r="E114" i="1"/>
  <c r="F114" i="1"/>
  <c r="G114" i="1"/>
  <c r="B115" i="1"/>
  <c r="C115" i="1"/>
  <c r="D115" i="1"/>
  <c r="E115" i="1"/>
  <c r="F115" i="1"/>
  <c r="G115" i="1"/>
  <c r="B116" i="1"/>
  <c r="C116" i="1"/>
  <c r="D116" i="1"/>
  <c r="E116" i="1"/>
  <c r="F116" i="1"/>
  <c r="G116" i="1"/>
  <c r="B117" i="1"/>
  <c r="C117" i="1"/>
  <c r="D117" i="1"/>
  <c r="E117" i="1"/>
  <c r="F117" i="1"/>
  <c r="G117" i="1"/>
  <c r="B118" i="1"/>
  <c r="C118" i="1"/>
  <c r="D118" i="1"/>
  <c r="E118" i="1"/>
  <c r="F118" i="1"/>
  <c r="G118" i="1"/>
  <c r="B119" i="1"/>
  <c r="C119" i="1"/>
  <c r="D119" i="1"/>
  <c r="E119" i="1"/>
  <c r="F119" i="1"/>
  <c r="G119" i="1"/>
  <c r="B120" i="1"/>
  <c r="C120" i="1"/>
  <c r="D120" i="1"/>
  <c r="E120" i="1"/>
  <c r="F120" i="1"/>
  <c r="G120" i="1"/>
  <c r="B121" i="1"/>
  <c r="C121" i="1"/>
  <c r="D121" i="1"/>
  <c r="E121" i="1"/>
  <c r="F121" i="1"/>
  <c r="G121" i="1"/>
  <c r="B122" i="1"/>
  <c r="C122" i="1"/>
  <c r="D122" i="1"/>
  <c r="E122" i="1"/>
  <c r="F122" i="1"/>
  <c r="G122" i="1"/>
  <c r="B123" i="1"/>
  <c r="C123" i="1"/>
  <c r="D123" i="1"/>
  <c r="E123" i="1"/>
  <c r="F123" i="1"/>
  <c r="G123" i="1"/>
  <c r="B124" i="1"/>
  <c r="C124" i="1"/>
  <c r="D124" i="1"/>
  <c r="E124" i="1"/>
  <c r="F124" i="1"/>
  <c r="G124" i="1"/>
  <c r="B125" i="1"/>
  <c r="C125" i="1"/>
  <c r="D125" i="1"/>
  <c r="E125" i="1"/>
  <c r="F125" i="1"/>
  <c r="G125" i="1"/>
  <c r="B126" i="1"/>
  <c r="C126" i="1"/>
  <c r="D126" i="1"/>
  <c r="E126" i="1"/>
  <c r="F126" i="1"/>
  <c r="G126" i="1"/>
  <c r="B127" i="1"/>
  <c r="C127" i="1"/>
  <c r="D127" i="1"/>
  <c r="E127" i="1"/>
  <c r="F127" i="1"/>
  <c r="G127" i="1"/>
  <c r="B128" i="1"/>
  <c r="C128" i="1"/>
  <c r="D128" i="1"/>
  <c r="E128" i="1"/>
  <c r="D26" i="9" s="1" a="1"/>
  <c r="D26" i="9" s="1"/>
  <c r="F128" i="1"/>
  <c r="G128" i="1"/>
  <c r="D27" i="9" s="1" a="1"/>
  <c r="D27" i="9" s="1"/>
  <c r="B129" i="1"/>
  <c r="C129" i="1"/>
  <c r="D129" i="1"/>
  <c r="E129" i="1"/>
  <c r="F129" i="1"/>
  <c r="G129" i="1"/>
  <c r="B130" i="1"/>
  <c r="C130" i="1"/>
  <c r="D130" i="1"/>
  <c r="E130" i="1"/>
  <c r="F130" i="1"/>
  <c r="G130" i="1"/>
  <c r="B131" i="1"/>
  <c r="C131" i="1"/>
  <c r="D131" i="1"/>
  <c r="E131" i="1"/>
  <c r="F131" i="1"/>
  <c r="G131" i="1"/>
  <c r="B132" i="1"/>
  <c r="C132" i="1"/>
  <c r="D132" i="1"/>
  <c r="E132" i="1"/>
  <c r="F132" i="1"/>
  <c r="G132" i="1"/>
  <c r="B133" i="1"/>
  <c r="C133" i="1"/>
  <c r="D133" i="1"/>
  <c r="E133" i="1"/>
  <c r="F133" i="1"/>
  <c r="G133" i="1"/>
  <c r="B134" i="1"/>
  <c r="C134" i="1"/>
  <c r="D134" i="1"/>
  <c r="E134" i="1"/>
  <c r="F134" i="1"/>
  <c r="G134" i="1"/>
  <c r="B135" i="1"/>
  <c r="C135" i="1"/>
  <c r="D135" i="1"/>
  <c r="E135" i="1"/>
  <c r="F135" i="1"/>
  <c r="G135" i="1"/>
  <c r="B136" i="1"/>
  <c r="C136" i="1"/>
  <c r="D136" i="1"/>
  <c r="E136" i="1"/>
  <c r="F136" i="1"/>
  <c r="G136" i="1"/>
  <c r="B137" i="1"/>
  <c r="C137" i="1"/>
  <c r="D137" i="1"/>
  <c r="E137" i="1"/>
  <c r="F137" i="1"/>
  <c r="G137" i="1"/>
  <c r="B138" i="1"/>
  <c r="C138" i="1"/>
  <c r="D138" i="1"/>
  <c r="E138" i="1"/>
  <c r="F138" i="1"/>
  <c r="G138" i="1"/>
  <c r="B139" i="1"/>
  <c r="C139" i="1"/>
  <c r="D139" i="1"/>
  <c r="E139" i="1"/>
  <c r="F139" i="1"/>
  <c r="G139" i="1"/>
  <c r="B140" i="1"/>
  <c r="C140" i="1"/>
  <c r="D140" i="1"/>
  <c r="E140" i="1"/>
  <c r="F140" i="1"/>
  <c r="G140" i="1"/>
  <c r="B141" i="1"/>
  <c r="C141" i="1"/>
  <c r="D141" i="1"/>
  <c r="E141" i="1"/>
  <c r="F141" i="1"/>
  <c r="G141" i="1"/>
  <c r="B142" i="1"/>
  <c r="C142" i="1"/>
  <c r="D142" i="1"/>
  <c r="E142" i="1"/>
  <c r="F142" i="1"/>
  <c r="G142" i="1"/>
  <c r="B143" i="1"/>
  <c r="C143" i="1"/>
  <c r="D143" i="1"/>
  <c r="E143" i="1"/>
  <c r="F143" i="1"/>
  <c r="G143" i="1"/>
  <c r="B144" i="1"/>
  <c r="C144" i="1"/>
  <c r="D144" i="1"/>
  <c r="E144" i="1"/>
  <c r="F144" i="1"/>
  <c r="G144" i="1"/>
  <c r="B145" i="1"/>
  <c r="C145" i="1"/>
  <c r="D145" i="1"/>
  <c r="E145" i="1"/>
  <c r="F145" i="1"/>
  <c r="G145" i="1"/>
  <c r="B146" i="1"/>
  <c r="C146" i="1"/>
  <c r="D146" i="1"/>
  <c r="E146" i="1"/>
  <c r="F146" i="1"/>
  <c r="G146" i="1"/>
  <c r="B147" i="1"/>
  <c r="C147" i="1"/>
  <c r="D147" i="1"/>
  <c r="E147" i="1"/>
  <c r="F147" i="1"/>
  <c r="G147" i="1"/>
  <c r="B148" i="1"/>
  <c r="C148" i="1"/>
  <c r="D148" i="1"/>
  <c r="E148" i="1"/>
  <c r="F148" i="1"/>
  <c r="G148" i="1"/>
  <c r="B149" i="1"/>
  <c r="C149" i="1"/>
  <c r="D149" i="1"/>
  <c r="E149" i="1"/>
  <c r="F149" i="1"/>
  <c r="G149" i="1"/>
  <c r="B150" i="1"/>
  <c r="C150" i="1"/>
  <c r="D150" i="1"/>
  <c r="E150" i="1"/>
  <c r="F150" i="1"/>
  <c r="G150" i="1"/>
  <c r="B151" i="1"/>
  <c r="C151" i="1"/>
  <c r="D151" i="1"/>
  <c r="E151" i="1"/>
  <c r="F151" i="1"/>
  <c r="G151" i="1"/>
  <c r="B152" i="1"/>
  <c r="C152" i="1"/>
  <c r="D152" i="1"/>
  <c r="E152" i="1"/>
  <c r="F152" i="1"/>
  <c r="G152" i="1"/>
  <c r="B153" i="1"/>
  <c r="C153" i="1"/>
  <c r="D153" i="1"/>
  <c r="E153" i="1"/>
  <c r="F153" i="1"/>
  <c r="G153" i="1"/>
  <c r="C102" i="1"/>
  <c r="D102" i="1"/>
  <c r="E102" i="1"/>
  <c r="G102" i="1"/>
  <c r="C103" i="1"/>
  <c r="E103" i="1"/>
  <c r="G103" i="1"/>
  <c r="C104" i="1"/>
  <c r="D104" i="1"/>
  <c r="E104" i="1"/>
  <c r="F104" i="1"/>
  <c r="G104" i="1"/>
  <c r="B105" i="1"/>
  <c r="D105" i="1"/>
  <c r="F105" i="1"/>
  <c r="B106" i="1"/>
  <c r="C106" i="1"/>
  <c r="F106" i="1"/>
  <c r="B107" i="1"/>
  <c r="C107" i="1"/>
  <c r="F107" i="1"/>
  <c r="B154" i="1"/>
  <c r="D154" i="1"/>
  <c r="F154" i="1"/>
  <c r="B155" i="1"/>
  <c r="D155" i="1"/>
  <c r="F155" i="1"/>
  <c r="C156" i="1"/>
  <c r="F156" i="1"/>
  <c r="B157" i="1"/>
  <c r="D157" i="1"/>
  <c r="F157" i="1"/>
  <c r="B158" i="1"/>
  <c r="D158" i="1"/>
  <c r="G158" i="1"/>
  <c r="C159" i="1"/>
  <c r="E159" i="1"/>
  <c r="G159" i="1"/>
  <c r="C160" i="1"/>
  <c r="E160" i="1"/>
  <c r="G160" i="1"/>
  <c r="B161" i="1"/>
  <c r="C161" i="1"/>
  <c r="D161" i="1"/>
  <c r="E161" i="1"/>
  <c r="F161" i="1"/>
  <c r="G161" i="1"/>
  <c r="B162" i="1"/>
  <c r="C162" i="1"/>
  <c r="D162" i="1"/>
  <c r="E162" i="1"/>
  <c r="F162" i="1"/>
  <c r="G162" i="1"/>
  <c r="B163" i="1"/>
  <c r="C163" i="1"/>
  <c r="D163" i="1"/>
  <c r="E163" i="1"/>
  <c r="F163" i="1"/>
  <c r="G163" i="1"/>
  <c r="B164" i="1"/>
  <c r="C164" i="1"/>
  <c r="D164" i="1"/>
  <c r="E164" i="1"/>
  <c r="F164" i="1"/>
  <c r="G164" i="1"/>
  <c r="B165" i="1"/>
  <c r="C165" i="1"/>
  <c r="D165" i="1"/>
  <c r="E165" i="1"/>
  <c r="F165" i="1"/>
  <c r="G165" i="1"/>
  <c r="B166" i="1"/>
  <c r="C166" i="1"/>
  <c r="D166" i="1"/>
  <c r="E166" i="1"/>
  <c r="F166" i="1"/>
  <c r="G166" i="1"/>
  <c r="B167" i="1"/>
  <c r="C167" i="1"/>
  <c r="D167" i="1"/>
  <c r="E167" i="1"/>
  <c r="F167" i="1"/>
  <c r="G167" i="1"/>
  <c r="B168" i="1"/>
  <c r="C168" i="1"/>
  <c r="D168" i="1"/>
  <c r="E168" i="1"/>
  <c r="F168" i="1"/>
  <c r="G168" i="1"/>
  <c r="B169" i="1"/>
  <c r="C169" i="1"/>
  <c r="D169" i="1"/>
  <c r="E169" i="1"/>
  <c r="F169" i="1"/>
  <c r="G169" i="1"/>
  <c r="B170" i="1"/>
  <c r="C170" i="1"/>
  <c r="D170" i="1"/>
  <c r="E170" i="1"/>
  <c r="F170" i="1"/>
  <c r="G170" i="1"/>
  <c r="B171" i="1"/>
  <c r="C171" i="1"/>
  <c r="D171" i="1"/>
  <c r="E171" i="1"/>
  <c r="F171" i="1"/>
  <c r="G171" i="1"/>
  <c r="B172" i="1"/>
  <c r="C172" i="1"/>
  <c r="D172" i="1"/>
  <c r="E172" i="1"/>
  <c r="F172" i="1"/>
  <c r="G172" i="1"/>
  <c r="B173" i="1"/>
  <c r="C173" i="1"/>
  <c r="D173" i="1"/>
  <c r="E173" i="1"/>
  <c r="F173" i="1"/>
  <c r="G173" i="1"/>
  <c r="B174" i="1"/>
  <c r="C174" i="1"/>
  <c r="D174" i="1"/>
  <c r="E174" i="1"/>
  <c r="F174" i="1"/>
  <c r="G174" i="1"/>
  <c r="B175" i="1"/>
  <c r="C175" i="1"/>
  <c r="D175" i="1"/>
  <c r="E175" i="1"/>
  <c r="F175" i="1"/>
  <c r="G175" i="1"/>
  <c r="B176" i="1"/>
  <c r="C176" i="1"/>
  <c r="D176" i="1"/>
  <c r="E176" i="1"/>
  <c r="F176" i="1"/>
  <c r="G176" i="1"/>
  <c r="B177" i="1"/>
  <c r="C177" i="1"/>
  <c r="D177" i="1"/>
  <c r="E177" i="1"/>
  <c r="F177" i="1"/>
  <c r="G177" i="1"/>
  <c r="B178" i="1"/>
  <c r="C178" i="1"/>
  <c r="D25" i="9" s="1" a="1"/>
  <c r="D25" i="9" s="1"/>
  <c r="D178" i="1"/>
  <c r="E178" i="1"/>
  <c r="F178" i="1"/>
  <c r="G178" i="1"/>
  <c r="B179" i="1"/>
  <c r="C179" i="1"/>
  <c r="D179" i="1"/>
  <c r="E179" i="1"/>
  <c r="F179" i="1"/>
  <c r="G179" i="1"/>
  <c r="B180" i="1"/>
  <c r="C180" i="1"/>
  <c r="D180" i="1"/>
  <c r="E180" i="1"/>
  <c r="F180" i="1"/>
  <c r="G180" i="1"/>
  <c r="B181" i="1"/>
  <c r="C181" i="1"/>
  <c r="D181" i="1"/>
  <c r="E181" i="1"/>
  <c r="F181" i="1"/>
  <c r="G181" i="1"/>
  <c r="B182" i="1"/>
  <c r="C182" i="1"/>
  <c r="D182" i="1"/>
  <c r="E182" i="1"/>
  <c r="F182" i="1"/>
  <c r="G182" i="1"/>
  <c r="B183" i="1"/>
  <c r="C183" i="1"/>
  <c r="D183" i="1"/>
  <c r="E183" i="1"/>
  <c r="F183" i="1"/>
  <c r="G183" i="1"/>
  <c r="B184" i="1"/>
  <c r="C184" i="1"/>
  <c r="D184" i="1"/>
  <c r="E184" i="1"/>
  <c r="F184" i="1"/>
  <c r="G184" i="1"/>
  <c r="B185" i="1"/>
  <c r="C185" i="1"/>
  <c r="D185" i="1"/>
  <c r="E185" i="1"/>
  <c r="F185" i="1"/>
  <c r="G185" i="1"/>
  <c r="B186" i="1"/>
  <c r="C186" i="1"/>
  <c r="D186" i="1"/>
  <c r="E186" i="1"/>
  <c r="F186" i="1"/>
  <c r="G186" i="1"/>
  <c r="B187" i="1"/>
  <c r="C187" i="1"/>
  <c r="D187" i="1"/>
  <c r="E187" i="1"/>
  <c r="F187" i="1"/>
  <c r="G187" i="1"/>
  <c r="B188" i="1"/>
  <c r="C188" i="1"/>
  <c r="D188" i="1"/>
  <c r="E188" i="1"/>
  <c r="F188" i="1"/>
  <c r="G188" i="1"/>
  <c r="B189" i="1"/>
  <c r="C189" i="1"/>
  <c r="D189" i="1"/>
  <c r="E189" i="1"/>
  <c r="F189" i="1"/>
  <c r="G189" i="1"/>
  <c r="B190" i="1"/>
  <c r="C190" i="1"/>
  <c r="D190" i="1"/>
  <c r="E190" i="1"/>
  <c r="F190" i="1"/>
  <c r="G190" i="1"/>
  <c r="B191" i="1"/>
  <c r="C191" i="1"/>
  <c r="D191" i="1"/>
  <c r="E191" i="1"/>
  <c r="F191" i="1"/>
  <c r="G191" i="1"/>
  <c r="B192" i="1"/>
  <c r="C192" i="1"/>
  <c r="D192" i="1"/>
  <c r="E192" i="1"/>
  <c r="F192" i="1"/>
  <c r="G192" i="1"/>
  <c r="B193" i="1"/>
  <c r="C193" i="1"/>
  <c r="D193" i="1"/>
  <c r="E193" i="1"/>
  <c r="F193" i="1"/>
  <c r="G193" i="1"/>
  <c r="B194" i="1"/>
  <c r="C194" i="1"/>
  <c r="D194" i="1"/>
  <c r="E194" i="1"/>
  <c r="F194" i="1"/>
  <c r="G194" i="1"/>
  <c r="B195" i="1"/>
  <c r="C195" i="1"/>
  <c r="D195" i="1"/>
  <c r="E195" i="1"/>
  <c r="F195" i="1"/>
  <c r="G195" i="1"/>
  <c r="B196" i="1"/>
  <c r="C196" i="1"/>
  <c r="D196" i="1"/>
  <c r="E196" i="1"/>
  <c r="F196" i="1"/>
  <c r="G196" i="1"/>
  <c r="B197" i="1"/>
  <c r="C197" i="1"/>
  <c r="D197" i="1"/>
  <c r="E197" i="1"/>
  <c r="F197" i="1"/>
  <c r="G197" i="1"/>
  <c r="B198" i="1"/>
  <c r="C198" i="1"/>
  <c r="D198" i="1"/>
  <c r="E198" i="1"/>
  <c r="F198" i="1"/>
  <c r="G198" i="1"/>
  <c r="B199" i="1"/>
  <c r="C199" i="1"/>
  <c r="D199" i="1"/>
  <c r="E199" i="1"/>
  <c r="F199" i="1"/>
  <c r="G199" i="1"/>
  <c r="B200" i="1"/>
  <c r="C200" i="1"/>
  <c r="D200" i="1"/>
  <c r="E200" i="1"/>
  <c r="F200" i="1"/>
  <c r="G200" i="1"/>
  <c r="B201" i="1"/>
  <c r="C201" i="1"/>
  <c r="D201" i="1"/>
  <c r="E201" i="1"/>
  <c r="F201" i="1"/>
  <c r="G201" i="1"/>
  <c r="B202" i="1"/>
  <c r="C202" i="1"/>
  <c r="D202" i="1"/>
  <c r="E202" i="1"/>
  <c r="F202" i="1"/>
  <c r="G202" i="1"/>
  <c r="B203" i="1"/>
  <c r="C203" i="1"/>
  <c r="D203" i="1"/>
  <c r="E203" i="1"/>
  <c r="F203" i="1"/>
  <c r="G203" i="1"/>
  <c r="B204" i="1"/>
  <c r="C204" i="1"/>
  <c r="D204" i="1"/>
  <c r="E204" i="1"/>
  <c r="F204" i="1"/>
  <c r="G204" i="1"/>
  <c r="B205" i="1"/>
  <c r="C205" i="1"/>
  <c r="D205" i="1"/>
  <c r="E205" i="1"/>
  <c r="F205" i="1"/>
  <c r="C105" i="1"/>
  <c r="E105" i="1"/>
  <c r="G105" i="1"/>
  <c r="D106" i="1"/>
  <c r="E106" i="1"/>
  <c r="G106" i="1"/>
  <c r="D107" i="1"/>
  <c r="E107" i="1"/>
  <c r="G107" i="1"/>
  <c r="B108" i="1"/>
  <c r="C154" i="1"/>
  <c r="E154" i="1"/>
  <c r="G154" i="1"/>
  <c r="C155" i="1"/>
  <c r="E155" i="1"/>
  <c r="G155" i="1"/>
  <c r="B156" i="1"/>
  <c r="D156" i="1"/>
  <c r="E156" i="1"/>
  <c r="G156" i="1"/>
  <c r="C157" i="1"/>
  <c r="E157" i="1"/>
  <c r="G157" i="1"/>
  <c r="C158" i="1"/>
  <c r="E158" i="1"/>
  <c r="F158" i="1"/>
  <c r="B159" i="1"/>
  <c r="D159" i="1"/>
  <c r="F159" i="1"/>
  <c r="B160" i="1"/>
  <c r="D160" i="1"/>
  <c r="F160" i="1"/>
  <c r="G205" i="1"/>
  <c r="B206" i="1"/>
  <c r="C206" i="1"/>
  <c r="D206" i="1"/>
  <c r="E206" i="1"/>
  <c r="F206" i="1"/>
  <c r="G206" i="1"/>
  <c r="B207" i="1"/>
  <c r="C207" i="1"/>
  <c r="D207" i="1"/>
  <c r="E207" i="1"/>
  <c r="F207" i="1"/>
  <c r="G207" i="1"/>
  <c r="B208" i="1"/>
  <c r="C208" i="1"/>
  <c r="D208" i="1"/>
  <c r="E208" i="1"/>
  <c r="F208" i="1"/>
  <c r="G208" i="1"/>
  <c r="B209" i="1"/>
  <c r="C209" i="1"/>
  <c r="D209" i="1"/>
  <c r="E209" i="1"/>
  <c r="F209" i="1"/>
  <c r="G209" i="1"/>
  <c r="B210" i="1"/>
  <c r="C210" i="1"/>
  <c r="D210" i="1"/>
  <c r="E210" i="1"/>
  <c r="F210" i="1"/>
  <c r="G210" i="1"/>
  <c r="B211" i="1"/>
  <c r="C211" i="1"/>
  <c r="D211" i="1"/>
  <c r="E211" i="1"/>
  <c r="F211" i="1"/>
  <c r="G211" i="1"/>
  <c r="B212" i="1"/>
  <c r="C212" i="1"/>
  <c r="D212" i="1"/>
  <c r="E212" i="1"/>
  <c r="F212" i="1"/>
  <c r="G212" i="1"/>
  <c r="B213" i="1"/>
  <c r="C213" i="1"/>
  <c r="D213" i="1"/>
  <c r="E213" i="1"/>
  <c r="F213" i="1"/>
  <c r="G213" i="1"/>
  <c r="B214" i="1"/>
  <c r="C214" i="1"/>
  <c r="D214" i="1"/>
  <c r="E214" i="1"/>
  <c r="F214" i="1"/>
  <c r="G214" i="1"/>
  <c r="B215" i="1"/>
  <c r="C215" i="1"/>
  <c r="D215" i="1"/>
  <c r="E215" i="1"/>
  <c r="F215" i="1"/>
  <c r="G215" i="1"/>
  <c r="B216" i="1"/>
  <c r="C216" i="1"/>
  <c r="D216" i="1"/>
  <c r="E216" i="1"/>
  <c r="F216" i="1"/>
  <c r="G216" i="1"/>
  <c r="B217" i="1"/>
  <c r="C217" i="1"/>
  <c r="D217" i="1"/>
  <c r="E217" i="1"/>
  <c r="F217" i="1"/>
  <c r="G217" i="1"/>
  <c r="B218" i="1"/>
  <c r="C218" i="1"/>
  <c r="D218" i="1"/>
  <c r="E218" i="1"/>
  <c r="F218" i="1"/>
  <c r="G218" i="1"/>
  <c r="B219" i="1"/>
  <c r="C219" i="1"/>
  <c r="D219" i="1"/>
  <c r="E219" i="1"/>
  <c r="F219" i="1"/>
  <c r="G219" i="1"/>
  <c r="B220" i="1"/>
  <c r="C220" i="1"/>
  <c r="D220" i="1"/>
  <c r="E220" i="1"/>
  <c r="F220" i="1"/>
  <c r="G220" i="1"/>
  <c r="B221" i="1"/>
  <c r="C221" i="1"/>
  <c r="D221" i="1"/>
  <c r="E221" i="1"/>
  <c r="F221" i="1"/>
  <c r="G221" i="1"/>
  <c r="B222" i="1"/>
  <c r="C222" i="1"/>
  <c r="D222" i="1"/>
  <c r="E222" i="1"/>
  <c r="F222" i="1"/>
  <c r="G222" i="1"/>
  <c r="B223" i="1"/>
  <c r="C223" i="1"/>
  <c r="D223" i="1"/>
  <c r="E223" i="1"/>
  <c r="F223" i="1"/>
  <c r="G223" i="1"/>
  <c r="B224" i="1"/>
  <c r="C224" i="1"/>
  <c r="D224" i="1"/>
  <c r="E224" i="1"/>
  <c r="F224" i="1"/>
  <c r="G224" i="1"/>
  <c r="B225" i="1"/>
  <c r="C225" i="1"/>
  <c r="D225" i="1"/>
  <c r="E225" i="1"/>
  <c r="F225" i="1"/>
  <c r="G225" i="1"/>
  <c r="B226" i="1"/>
  <c r="C226" i="1"/>
  <c r="D226" i="1"/>
  <c r="E226" i="1"/>
  <c r="F226" i="1"/>
  <c r="G226" i="1"/>
  <c r="B227" i="1"/>
  <c r="C227" i="1"/>
  <c r="D227" i="1"/>
  <c r="E227" i="1"/>
  <c r="F227" i="1"/>
  <c r="G227" i="1"/>
  <c r="B228" i="1"/>
  <c r="C228" i="1"/>
  <c r="D228" i="1"/>
  <c r="E228" i="1"/>
  <c r="F228" i="1"/>
  <c r="G228" i="1"/>
  <c r="B229" i="1"/>
  <c r="C229" i="1"/>
  <c r="D229" i="1"/>
  <c r="E229" i="1"/>
  <c r="F229" i="1"/>
  <c r="G229" i="1"/>
  <c r="B230" i="1"/>
  <c r="C230" i="1"/>
  <c r="D230" i="1"/>
  <c r="E230" i="1"/>
  <c r="F230" i="1"/>
  <c r="G230" i="1"/>
  <c r="B231" i="1"/>
  <c r="C231" i="1"/>
  <c r="D231" i="1"/>
  <c r="E231" i="1"/>
  <c r="F231" i="1"/>
  <c r="G231" i="1"/>
  <c r="B232" i="1"/>
  <c r="C232" i="1"/>
  <c r="D232" i="1"/>
  <c r="E232" i="1"/>
  <c r="F232" i="1"/>
  <c r="G232" i="1"/>
  <c r="B233" i="1"/>
  <c r="C233" i="1"/>
  <c r="D233" i="1"/>
  <c r="E233" i="1"/>
  <c r="F233" i="1"/>
  <c r="G233" i="1"/>
  <c r="B234" i="1"/>
  <c r="C234" i="1"/>
  <c r="D234" i="1"/>
  <c r="E234" i="1"/>
  <c r="F234" i="1"/>
  <c r="G234" i="1"/>
  <c r="B235" i="1"/>
  <c r="C235" i="1"/>
  <c r="D235" i="1"/>
  <c r="E235" i="1"/>
  <c r="F235" i="1"/>
  <c r="G235" i="1"/>
  <c r="B236" i="1"/>
  <c r="C236" i="1"/>
  <c r="D236" i="1"/>
  <c r="E236" i="1"/>
  <c r="F236" i="1"/>
  <c r="G236" i="1"/>
  <c r="B237" i="1"/>
  <c r="C237" i="1"/>
  <c r="D237" i="1"/>
  <c r="E237" i="1"/>
  <c r="F237" i="1"/>
  <c r="G237" i="1"/>
  <c r="B238" i="1"/>
  <c r="C238" i="1"/>
  <c r="D238" i="1"/>
  <c r="E238" i="1"/>
  <c r="F238" i="1"/>
  <c r="G238" i="1"/>
  <c r="B239" i="1"/>
  <c r="C239" i="1"/>
  <c r="D239" i="1"/>
  <c r="E239" i="1"/>
  <c r="F239" i="1"/>
  <c r="G239" i="1"/>
  <c r="B240" i="1"/>
  <c r="C240" i="1"/>
  <c r="D240" i="1"/>
  <c r="E240" i="1"/>
  <c r="F240" i="1"/>
  <c r="G240" i="1"/>
  <c r="B241" i="1"/>
  <c r="C241" i="1"/>
  <c r="D241" i="1"/>
  <c r="E241" i="1"/>
  <c r="F241" i="1"/>
  <c r="G241" i="1"/>
  <c r="B242" i="1"/>
  <c r="C242" i="1"/>
  <c r="D242" i="1"/>
  <c r="E242" i="1"/>
  <c r="F242" i="1"/>
  <c r="G242" i="1"/>
  <c r="B243" i="1"/>
  <c r="C243" i="1"/>
  <c r="D243" i="1"/>
  <c r="E243" i="1"/>
  <c r="F243" i="1"/>
  <c r="G243" i="1"/>
  <c r="B244" i="1"/>
  <c r="C244" i="1"/>
  <c r="D244" i="1"/>
  <c r="E244" i="1"/>
  <c r="F244" i="1"/>
  <c r="G244" i="1"/>
  <c r="B245" i="1"/>
  <c r="C245" i="1"/>
  <c r="D245" i="1"/>
  <c r="E245" i="1"/>
  <c r="F245" i="1"/>
  <c r="G245" i="1"/>
  <c r="B246" i="1"/>
  <c r="C246" i="1"/>
  <c r="D246" i="1"/>
  <c r="E246" i="1"/>
  <c r="F246" i="1"/>
  <c r="G246" i="1"/>
  <c r="B247" i="1"/>
  <c r="C247" i="1"/>
  <c r="D247" i="1"/>
  <c r="E247" i="1"/>
  <c r="F247" i="1"/>
  <c r="G247" i="1"/>
  <c r="B248" i="1"/>
  <c r="C248" i="1"/>
  <c r="D248" i="1"/>
  <c r="E248" i="1"/>
  <c r="F248" i="1"/>
  <c r="G248" i="1"/>
  <c r="B249" i="1"/>
  <c r="C249" i="1"/>
  <c r="D249" i="1"/>
  <c r="E249" i="1"/>
  <c r="F249" i="1"/>
  <c r="G249" i="1"/>
  <c r="B250" i="1"/>
  <c r="C250" i="1"/>
  <c r="D250" i="1"/>
  <c r="E250" i="1"/>
  <c r="F250" i="1"/>
  <c r="G250" i="1"/>
  <c r="B251" i="1"/>
  <c r="C251" i="1"/>
  <c r="D251" i="1"/>
  <c r="E251" i="1"/>
  <c r="F251" i="1"/>
  <c r="G251" i="1"/>
  <c r="B252" i="1"/>
  <c r="C252" i="1"/>
  <c r="D252" i="1"/>
  <c r="E252" i="1"/>
  <c r="F252" i="1"/>
  <c r="G252" i="1"/>
  <c r="B253" i="1"/>
  <c r="C253" i="1"/>
  <c r="D253" i="1"/>
  <c r="E253" i="1"/>
  <c r="F253" i="1"/>
  <c r="G253" i="1"/>
  <c r="B254" i="1"/>
  <c r="C254" i="1"/>
  <c r="D254" i="1"/>
  <c r="E254" i="1"/>
  <c r="F254" i="1"/>
  <c r="G254" i="1"/>
  <c r="B255" i="1"/>
  <c r="C255" i="1"/>
  <c r="D255" i="1"/>
  <c r="E255" i="1"/>
  <c r="F255" i="1"/>
  <c r="G255" i="1"/>
  <c r="B256" i="1"/>
  <c r="C256" i="1"/>
  <c r="D256" i="1"/>
  <c r="E256" i="1"/>
  <c r="F256" i="1"/>
  <c r="G256" i="1"/>
  <c r="B257" i="1"/>
  <c r="C257" i="1"/>
  <c r="D257" i="1"/>
  <c r="E257" i="1"/>
  <c r="F257" i="1"/>
  <c r="G257" i="1"/>
  <c r="B258" i="1"/>
  <c r="C258" i="1"/>
  <c r="D258" i="1"/>
  <c r="E258" i="1"/>
  <c r="F258" i="1"/>
  <c r="G258" i="1"/>
  <c r="B259" i="1"/>
  <c r="C259" i="1"/>
  <c r="D259" i="1"/>
  <c r="E259" i="1"/>
  <c r="F259" i="1"/>
  <c r="G259" i="1"/>
  <c r="B260" i="1"/>
  <c r="C260" i="1"/>
  <c r="D260" i="1"/>
  <c r="E260" i="1"/>
  <c r="F260" i="1"/>
  <c r="G260" i="1"/>
  <c r="B261" i="1"/>
  <c r="C261" i="1"/>
  <c r="D261" i="1"/>
  <c r="E261" i="1"/>
  <c r="F261" i="1"/>
  <c r="G261" i="1"/>
  <c r="B262" i="1"/>
  <c r="C262" i="1"/>
  <c r="D262" i="1"/>
  <c r="E262" i="1"/>
  <c r="F262" i="1"/>
  <c r="G262" i="1"/>
  <c r="B263" i="1"/>
  <c r="C263" i="1"/>
  <c r="D263" i="1"/>
  <c r="E263" i="1"/>
  <c r="F263" i="1"/>
  <c r="G263" i="1"/>
  <c r="B264" i="1"/>
  <c r="C264" i="1"/>
  <c r="D264" i="1"/>
  <c r="E264" i="1"/>
  <c r="F264" i="1"/>
  <c r="G264" i="1"/>
  <c r="B265" i="1"/>
  <c r="C265" i="1"/>
  <c r="D265" i="1"/>
  <c r="E265" i="1"/>
  <c r="F265" i="1"/>
  <c r="G265" i="1"/>
  <c r="B266" i="1"/>
  <c r="C266" i="1"/>
  <c r="D266" i="1"/>
  <c r="E266" i="1"/>
  <c r="F266" i="1"/>
  <c r="G266" i="1"/>
  <c r="B267" i="1"/>
  <c r="C267" i="1"/>
  <c r="D267" i="1"/>
  <c r="E267" i="1"/>
  <c r="F267" i="1"/>
  <c r="G267" i="1"/>
  <c r="B268" i="1"/>
  <c r="C268" i="1"/>
  <c r="D268" i="1"/>
  <c r="E268" i="1"/>
  <c r="F268" i="1"/>
  <c r="G268" i="1"/>
  <c r="B269" i="1"/>
  <c r="C269" i="1"/>
  <c r="D269" i="1"/>
  <c r="E269" i="1"/>
  <c r="F269" i="1"/>
  <c r="G269" i="1"/>
  <c r="B270" i="1"/>
  <c r="C270" i="1"/>
  <c r="D270" i="1"/>
  <c r="E270" i="1"/>
  <c r="F270" i="1"/>
  <c r="G270" i="1"/>
  <c r="B271" i="1"/>
  <c r="C271" i="1"/>
  <c r="D271" i="1"/>
  <c r="E271" i="1"/>
  <c r="F271" i="1"/>
  <c r="G271" i="1"/>
  <c r="B272" i="1"/>
  <c r="C272" i="1"/>
  <c r="D272" i="1"/>
  <c r="E272" i="1"/>
  <c r="F272" i="1"/>
  <c r="G272" i="1"/>
  <c r="B273" i="1"/>
  <c r="C273" i="1"/>
  <c r="D273" i="1"/>
  <c r="E273" i="1"/>
  <c r="F273" i="1"/>
  <c r="G273" i="1"/>
  <c r="B274" i="1"/>
  <c r="C274" i="1"/>
  <c r="D274" i="1"/>
  <c r="E274" i="1"/>
  <c r="F274" i="1"/>
  <c r="G274" i="1"/>
  <c r="B275" i="1"/>
  <c r="C275" i="1"/>
  <c r="D275" i="1"/>
  <c r="E275" i="1"/>
  <c r="F275" i="1"/>
  <c r="G275" i="1"/>
  <c r="B276" i="1"/>
  <c r="C276" i="1"/>
  <c r="D276" i="1"/>
  <c r="E276" i="1"/>
  <c r="F276" i="1"/>
  <c r="G276" i="1"/>
  <c r="B277" i="1"/>
  <c r="C277" i="1"/>
  <c r="D277" i="1"/>
  <c r="E277" i="1"/>
  <c r="F277" i="1"/>
  <c r="G277" i="1"/>
  <c r="B278" i="1"/>
  <c r="C278" i="1"/>
  <c r="D278" i="1"/>
  <c r="E278" i="1"/>
  <c r="F278" i="1"/>
  <c r="G278" i="1"/>
  <c r="B279" i="1"/>
  <c r="C279" i="1"/>
  <c r="D279" i="1"/>
  <c r="E279" i="1"/>
  <c r="F279" i="1"/>
  <c r="G279" i="1"/>
  <c r="B280" i="1"/>
  <c r="C280" i="1"/>
  <c r="D280" i="1"/>
  <c r="E280" i="1"/>
  <c r="F280" i="1"/>
  <c r="G280" i="1"/>
  <c r="B281" i="1"/>
  <c r="C281" i="1"/>
  <c r="D281" i="1"/>
  <c r="E281" i="1"/>
  <c r="F281" i="1"/>
  <c r="G281" i="1"/>
  <c r="B282" i="1"/>
  <c r="C282" i="1"/>
  <c r="D282" i="1"/>
  <c r="E282" i="1"/>
  <c r="F282" i="1"/>
  <c r="G282" i="1"/>
  <c r="B283" i="1"/>
  <c r="C283" i="1"/>
  <c r="D283" i="1"/>
  <c r="E283" i="1"/>
  <c r="F283" i="1"/>
  <c r="G283" i="1"/>
  <c r="B284" i="1"/>
  <c r="C284" i="1"/>
  <c r="D284" i="1"/>
  <c r="E284" i="1"/>
  <c r="F284" i="1"/>
  <c r="G284" i="1"/>
  <c r="B285" i="1"/>
  <c r="C285" i="1"/>
  <c r="D285" i="1"/>
  <c r="E285" i="1"/>
  <c r="F285" i="1"/>
  <c r="G285" i="1"/>
  <c r="B286" i="1"/>
  <c r="C286" i="1"/>
  <c r="D286" i="1"/>
  <c r="E286" i="1"/>
  <c r="F286" i="1"/>
  <c r="G286" i="1"/>
  <c r="B287" i="1"/>
  <c r="C287" i="1"/>
  <c r="D287" i="1"/>
  <c r="E287" i="1"/>
  <c r="F287" i="1"/>
  <c r="G287" i="1"/>
  <c r="B288" i="1"/>
  <c r="C288" i="1"/>
  <c r="D288" i="1"/>
  <c r="E288" i="1"/>
  <c r="F288" i="1"/>
  <c r="G288" i="1"/>
  <c r="B289" i="1"/>
  <c r="C289" i="1"/>
  <c r="D289" i="1"/>
  <c r="E289" i="1"/>
  <c r="F289" i="1"/>
  <c r="G289" i="1"/>
  <c r="B290" i="1"/>
  <c r="C290" i="1"/>
  <c r="D290" i="1"/>
  <c r="E290" i="1"/>
  <c r="F290" i="1"/>
  <c r="G290" i="1"/>
  <c r="B291" i="1"/>
  <c r="C291" i="1"/>
  <c r="D291" i="1"/>
  <c r="E291" i="1"/>
  <c r="F291" i="1"/>
  <c r="G291" i="1"/>
  <c r="B292" i="1"/>
  <c r="C292" i="1"/>
  <c r="D292" i="1"/>
  <c r="E292" i="1"/>
  <c r="F292" i="1"/>
  <c r="G292" i="1"/>
  <c r="B293" i="1"/>
  <c r="C293" i="1"/>
  <c r="D293" i="1"/>
  <c r="E293" i="1"/>
  <c r="F293" i="1"/>
  <c r="G293" i="1"/>
  <c r="B294" i="1"/>
  <c r="C294" i="1"/>
  <c r="D294" i="1"/>
  <c r="E294" i="1"/>
  <c r="F294" i="1"/>
  <c r="G294" i="1"/>
  <c r="B295" i="1"/>
  <c r="C295" i="1"/>
  <c r="D295" i="1"/>
  <c r="E295" i="1"/>
  <c r="F295" i="1"/>
  <c r="G295" i="1"/>
  <c r="B296" i="1"/>
  <c r="C296" i="1"/>
  <c r="D296" i="1"/>
  <c r="E296" i="1"/>
  <c r="F296" i="1"/>
  <c r="G296" i="1"/>
  <c r="B297" i="1"/>
  <c r="C297" i="1"/>
  <c r="D297" i="1"/>
  <c r="E297" i="1"/>
  <c r="F297" i="1"/>
  <c r="G297" i="1"/>
  <c r="B298" i="1"/>
  <c r="C298" i="1"/>
  <c r="D298" i="1"/>
  <c r="E298" i="1"/>
  <c r="F298" i="1"/>
  <c r="G298" i="1"/>
  <c r="B299" i="1"/>
  <c r="C299" i="1"/>
  <c r="D299" i="1"/>
  <c r="E299" i="1"/>
  <c r="F299" i="1"/>
  <c r="G299" i="1"/>
  <c r="B300" i="1"/>
  <c r="C300" i="1"/>
  <c r="D300" i="1"/>
  <c r="E300" i="1"/>
  <c r="F300" i="1"/>
  <c r="G300" i="1"/>
  <c r="B301" i="1"/>
  <c r="C301" i="1"/>
  <c r="D301" i="1"/>
  <c r="E301" i="1"/>
  <c r="F301" i="1"/>
  <c r="G301" i="1"/>
  <c r="B302" i="1"/>
  <c r="C302" i="1"/>
  <c r="D302" i="1"/>
  <c r="E302" i="1"/>
  <c r="F302" i="1"/>
  <c r="G302" i="1"/>
  <c r="B303" i="1"/>
  <c r="C303" i="1"/>
  <c r="D303" i="1"/>
  <c r="E303" i="1"/>
  <c r="F303" i="1"/>
  <c r="G307" i="1"/>
  <c r="B308" i="1"/>
  <c r="C308" i="1"/>
  <c r="D308" i="1"/>
  <c r="E308" i="1"/>
  <c r="F308" i="1"/>
  <c r="G308" i="1"/>
  <c r="B309" i="1"/>
  <c r="C309" i="1"/>
  <c r="D309" i="1"/>
  <c r="E309" i="1"/>
  <c r="F309" i="1"/>
  <c r="G309" i="1"/>
  <c r="B310" i="1"/>
  <c r="C310" i="1"/>
  <c r="D310" i="1"/>
  <c r="E310" i="1"/>
  <c r="F310" i="1"/>
  <c r="G310" i="1"/>
  <c r="B311" i="1"/>
  <c r="C311" i="1"/>
  <c r="D311" i="1"/>
  <c r="E311" i="1"/>
  <c r="F311" i="1"/>
  <c r="G311" i="1"/>
  <c r="B312" i="1"/>
  <c r="C312" i="1"/>
  <c r="D312" i="1"/>
  <c r="E312" i="1"/>
  <c r="F312" i="1"/>
  <c r="G312" i="1"/>
  <c r="B313" i="1"/>
  <c r="C313" i="1"/>
  <c r="D313" i="1"/>
  <c r="E313" i="1"/>
  <c r="F313" i="1"/>
  <c r="G313" i="1"/>
  <c r="B314" i="1"/>
  <c r="C314" i="1"/>
  <c r="D314" i="1"/>
  <c r="E314" i="1"/>
  <c r="F314" i="1"/>
  <c r="G314" i="1"/>
  <c r="B315" i="1"/>
  <c r="C315" i="1"/>
  <c r="D315" i="1"/>
  <c r="E315" i="1"/>
  <c r="F315" i="1"/>
  <c r="G315" i="1"/>
  <c r="B316" i="1"/>
  <c r="C316" i="1"/>
  <c r="D316" i="1"/>
  <c r="E316" i="1"/>
  <c r="F316" i="1"/>
  <c r="G316" i="1"/>
  <c r="B317" i="1"/>
  <c r="C317" i="1"/>
  <c r="D317" i="1"/>
  <c r="E317" i="1"/>
  <c r="F317" i="1"/>
  <c r="G317" i="1"/>
  <c r="B318" i="1"/>
  <c r="C318" i="1"/>
  <c r="D318" i="1"/>
  <c r="E318" i="1"/>
  <c r="F318" i="1"/>
  <c r="G318" i="1"/>
  <c r="B319" i="1"/>
  <c r="C319" i="1"/>
  <c r="D319" i="1"/>
  <c r="E319" i="1"/>
  <c r="F319" i="1"/>
  <c r="G319" i="1"/>
  <c r="B320" i="1"/>
  <c r="C320" i="1"/>
  <c r="D320" i="1"/>
  <c r="E320" i="1"/>
  <c r="F320" i="1"/>
  <c r="G320" i="1"/>
  <c r="B321" i="1"/>
  <c r="C321" i="1"/>
  <c r="D321" i="1"/>
  <c r="E321" i="1"/>
  <c r="F321" i="1"/>
  <c r="G321" i="1"/>
  <c r="B322" i="1"/>
  <c r="C322" i="1"/>
  <c r="D322" i="1"/>
  <c r="E322" i="1"/>
  <c r="F322" i="1"/>
  <c r="G322" i="1"/>
  <c r="B323" i="1"/>
  <c r="C323" i="1"/>
  <c r="D323" i="1"/>
  <c r="E323" i="1"/>
  <c r="F323" i="1"/>
  <c r="G323" i="1"/>
  <c r="B324" i="1"/>
  <c r="C324" i="1"/>
  <c r="D324" i="1"/>
  <c r="E324" i="1"/>
  <c r="F324" i="1"/>
  <c r="G324" i="1"/>
  <c r="B325" i="1"/>
  <c r="C325" i="1"/>
  <c r="D325" i="1"/>
  <c r="E325" i="1"/>
  <c r="F325" i="1"/>
  <c r="G325" i="1"/>
  <c r="B326" i="1"/>
  <c r="C326" i="1"/>
  <c r="D326" i="1"/>
  <c r="E326" i="1"/>
  <c r="F326" i="1"/>
  <c r="G326" i="1"/>
  <c r="B327" i="1"/>
  <c r="C327" i="1"/>
  <c r="D327" i="1"/>
  <c r="E327" i="1"/>
  <c r="F327" i="1"/>
  <c r="G327" i="1"/>
  <c r="B328" i="1"/>
  <c r="C328" i="1"/>
  <c r="D328" i="1"/>
  <c r="E328" i="1"/>
  <c r="F328" i="1"/>
  <c r="G328" i="1"/>
  <c r="B329" i="1"/>
  <c r="C329" i="1"/>
  <c r="D329" i="1"/>
  <c r="E329" i="1"/>
  <c r="F329" i="1"/>
  <c r="G329" i="1"/>
  <c r="B330" i="1"/>
  <c r="C330" i="1"/>
  <c r="D330" i="1"/>
  <c r="E330" i="1"/>
  <c r="F330" i="1"/>
  <c r="G330" i="1"/>
  <c r="B331" i="1"/>
  <c r="C331" i="1"/>
  <c r="D331" i="1"/>
  <c r="E331" i="1"/>
  <c r="F331" i="1"/>
  <c r="G331" i="1"/>
  <c r="B332" i="1"/>
  <c r="C332" i="1"/>
  <c r="D332" i="1"/>
  <c r="E332" i="1"/>
  <c r="F332" i="1"/>
  <c r="G332" i="1"/>
  <c r="B333" i="1"/>
  <c r="C333" i="1"/>
  <c r="D333" i="1"/>
  <c r="E333" i="1"/>
  <c r="F333" i="1"/>
  <c r="G333" i="1"/>
  <c r="B334" i="1"/>
  <c r="C334" i="1"/>
  <c r="D334" i="1"/>
  <c r="E334" i="1"/>
  <c r="F334" i="1"/>
  <c r="G334" i="1"/>
  <c r="B335" i="1"/>
  <c r="C335" i="1"/>
  <c r="D335" i="1"/>
  <c r="E335" i="1"/>
  <c r="F335" i="1"/>
  <c r="G335" i="1"/>
  <c r="B336" i="1"/>
  <c r="C336" i="1"/>
  <c r="D336" i="1"/>
  <c r="E336" i="1"/>
  <c r="F336" i="1"/>
  <c r="G336" i="1"/>
  <c r="B337" i="1"/>
  <c r="C337" i="1"/>
  <c r="D337" i="1"/>
  <c r="E337" i="1"/>
  <c r="F337" i="1"/>
  <c r="G337" i="1"/>
  <c r="B338" i="1"/>
  <c r="C338" i="1"/>
  <c r="D338" i="1"/>
  <c r="E338" i="1"/>
  <c r="F338" i="1"/>
  <c r="G338" i="1"/>
  <c r="B339" i="1"/>
  <c r="C339" i="1"/>
  <c r="D339" i="1"/>
  <c r="E339" i="1"/>
  <c r="F339" i="1"/>
  <c r="G339" i="1"/>
  <c r="B340" i="1"/>
  <c r="C340" i="1"/>
  <c r="D340" i="1"/>
  <c r="E340" i="1"/>
  <c r="F340" i="1"/>
  <c r="G340" i="1"/>
  <c r="B341" i="1"/>
  <c r="C341" i="1"/>
  <c r="D341" i="1"/>
  <c r="E341" i="1"/>
  <c r="F341" i="1"/>
  <c r="G341" i="1"/>
  <c r="B342" i="1"/>
  <c r="C342" i="1"/>
  <c r="D342" i="1"/>
  <c r="E342" i="1"/>
  <c r="F342" i="1"/>
  <c r="G342" i="1"/>
  <c r="B343" i="1"/>
  <c r="C343" i="1"/>
  <c r="D343" i="1"/>
  <c r="E343" i="1"/>
  <c r="F343" i="1"/>
  <c r="G343" i="1"/>
  <c r="B344" i="1"/>
  <c r="C344" i="1"/>
  <c r="D344" i="1"/>
  <c r="E344" i="1"/>
  <c r="F344" i="1"/>
  <c r="G344" i="1"/>
  <c r="B345" i="1"/>
  <c r="C345" i="1"/>
  <c r="B348" i="1"/>
  <c r="C348" i="1"/>
  <c r="D348" i="1"/>
  <c r="E348" i="1"/>
  <c r="F348" i="1"/>
  <c r="G348" i="1"/>
  <c r="B349" i="1"/>
  <c r="C349" i="1"/>
  <c r="D349" i="1"/>
  <c r="E349" i="1"/>
  <c r="F349" i="1"/>
  <c r="G349" i="1"/>
  <c r="B350" i="1"/>
  <c r="C350" i="1"/>
  <c r="D350" i="1"/>
  <c r="E350" i="1"/>
  <c r="F350" i="1"/>
  <c r="G350" i="1"/>
  <c r="B351" i="1"/>
  <c r="C351" i="1"/>
  <c r="D351" i="1"/>
  <c r="E351" i="1"/>
  <c r="F351" i="1"/>
  <c r="G351" i="1"/>
  <c r="B352" i="1"/>
  <c r="C352" i="1"/>
  <c r="D352" i="1"/>
  <c r="E352" i="1"/>
  <c r="F352" i="1"/>
  <c r="G352" i="1"/>
  <c r="B353" i="1"/>
  <c r="C353" i="1"/>
  <c r="D353" i="1"/>
  <c r="E353" i="1"/>
  <c r="F353" i="1"/>
  <c r="G353" i="1"/>
  <c r="B354" i="1"/>
  <c r="C354" i="1"/>
  <c r="D354" i="1"/>
  <c r="E354" i="1"/>
  <c r="F354" i="1"/>
  <c r="G354" i="1"/>
  <c r="B355" i="1"/>
  <c r="C355" i="1"/>
  <c r="D355" i="1"/>
  <c r="E355" i="1"/>
  <c r="F355" i="1"/>
  <c r="G355" i="1"/>
  <c r="B356" i="1"/>
  <c r="C356" i="1"/>
  <c r="D356" i="1"/>
  <c r="E356" i="1"/>
  <c r="F356" i="1"/>
  <c r="G356" i="1"/>
  <c r="B357" i="1"/>
  <c r="C357" i="1"/>
  <c r="D357" i="1"/>
  <c r="E357" i="1"/>
  <c r="F357" i="1"/>
  <c r="G357" i="1"/>
  <c r="B358" i="1"/>
  <c r="C358" i="1"/>
  <c r="D358" i="1"/>
  <c r="E358" i="1"/>
  <c r="F358" i="1"/>
  <c r="G358" i="1"/>
  <c r="B359" i="1"/>
  <c r="C359" i="1"/>
  <c r="D359" i="1"/>
  <c r="E359" i="1"/>
  <c r="F359" i="1"/>
  <c r="G359" i="1"/>
  <c r="B360" i="1"/>
  <c r="C360" i="1"/>
  <c r="D360" i="1"/>
  <c r="E360" i="1"/>
  <c r="F360" i="1"/>
  <c r="G360" i="1"/>
  <c r="B361" i="1"/>
  <c r="D361" i="1"/>
  <c r="G361" i="1"/>
  <c r="C362" i="1"/>
  <c r="E362" i="1"/>
  <c r="G362" i="1"/>
  <c r="C363" i="1"/>
  <c r="E363" i="1"/>
  <c r="G363" i="1"/>
  <c r="B364" i="1"/>
  <c r="D364" i="1"/>
  <c r="F364" i="1"/>
  <c r="B365" i="1"/>
  <c r="D365" i="1"/>
  <c r="G365" i="1"/>
  <c r="C366" i="1"/>
  <c r="E366" i="1"/>
  <c r="G366" i="1"/>
  <c r="C367" i="1"/>
  <c r="E367" i="1"/>
  <c r="G367" i="1"/>
  <c r="C368" i="1"/>
  <c r="D368" i="1"/>
  <c r="E368" i="1"/>
  <c r="F368" i="1"/>
  <c r="G368" i="1"/>
  <c r="B369" i="1"/>
  <c r="C369" i="1"/>
  <c r="D369" i="1"/>
  <c r="E369" i="1"/>
  <c r="F369" i="1"/>
  <c r="G369" i="1"/>
  <c r="B370" i="1"/>
  <c r="C370" i="1"/>
  <c r="D370" i="1"/>
  <c r="F370" i="1"/>
  <c r="G370" i="1"/>
  <c r="B371" i="1"/>
  <c r="C371" i="1"/>
  <c r="D371" i="1"/>
  <c r="E371" i="1"/>
  <c r="F371" i="1"/>
  <c r="G371" i="1"/>
  <c r="B372" i="1"/>
  <c r="C372" i="1"/>
  <c r="D372" i="1"/>
  <c r="F372" i="1"/>
  <c r="B373" i="1"/>
  <c r="D373" i="1"/>
  <c r="F373" i="1"/>
  <c r="B374" i="1"/>
  <c r="D374" i="1"/>
  <c r="F374" i="1"/>
  <c r="B375" i="1"/>
  <c r="D375" i="1"/>
  <c r="F375" i="1"/>
  <c r="B376" i="1"/>
  <c r="D376" i="1"/>
  <c r="F376" i="1"/>
  <c r="B377" i="1"/>
  <c r="D377" i="1"/>
  <c r="F377" i="1"/>
  <c r="B378" i="1"/>
  <c r="E378" i="1"/>
  <c r="F378" i="1"/>
  <c r="B379" i="1"/>
  <c r="D379" i="1"/>
  <c r="F379" i="1"/>
  <c r="B380" i="1"/>
  <c r="D380" i="1"/>
  <c r="F380" i="1"/>
  <c r="F381" i="1"/>
  <c r="B382" i="1"/>
  <c r="D382" i="1"/>
  <c r="F382" i="1"/>
  <c r="B383" i="1"/>
  <c r="D383" i="1"/>
  <c r="F383" i="1"/>
  <c r="B384" i="1"/>
  <c r="D384" i="1"/>
  <c r="F384" i="1"/>
  <c r="B385" i="1"/>
  <c r="D385" i="1"/>
  <c r="F385" i="1"/>
  <c r="B386" i="1"/>
  <c r="D386" i="1"/>
  <c r="F386" i="1"/>
  <c r="B387" i="1"/>
  <c r="D387" i="1"/>
  <c r="F387" i="1"/>
  <c r="B388" i="1"/>
  <c r="D388" i="1"/>
  <c r="F388" i="1"/>
  <c r="D389" i="1"/>
  <c r="F389" i="1"/>
  <c r="B390" i="1"/>
  <c r="D390" i="1"/>
  <c r="F390" i="1"/>
  <c r="B391" i="1"/>
  <c r="D391" i="1"/>
  <c r="F391" i="1"/>
  <c r="B392" i="1"/>
  <c r="E392" i="1"/>
  <c r="F392" i="1"/>
  <c r="B393" i="1"/>
  <c r="D393" i="1"/>
  <c r="F393" i="1"/>
  <c r="B394" i="1"/>
  <c r="D394" i="1"/>
  <c r="F394" i="1"/>
  <c r="B395" i="1"/>
  <c r="D395" i="1"/>
  <c r="F395" i="1"/>
  <c r="B396" i="1"/>
  <c r="D396" i="1"/>
  <c r="F396" i="1"/>
  <c r="B397" i="1"/>
  <c r="D397" i="1"/>
  <c r="F397" i="1"/>
  <c r="B398" i="1"/>
  <c r="D398" i="1"/>
  <c r="F398" i="1"/>
  <c r="B399" i="1"/>
  <c r="D399" i="1"/>
  <c r="F399" i="1"/>
  <c r="B400" i="1"/>
  <c r="D400" i="1"/>
  <c r="F400" i="1"/>
  <c r="B401" i="1"/>
  <c r="D401" i="1"/>
  <c r="F401" i="1"/>
  <c r="B402" i="1"/>
  <c r="D402" i="1"/>
  <c r="F402" i="1"/>
  <c r="B403" i="1"/>
  <c r="D403" i="1"/>
  <c r="E403" i="1"/>
  <c r="G403" i="1"/>
  <c r="B404" i="1"/>
  <c r="D404" i="1"/>
  <c r="E404" i="1"/>
  <c r="G404" i="1"/>
  <c r="C361" i="1"/>
  <c r="E361" i="1"/>
  <c r="F361" i="1"/>
  <c r="B362" i="1"/>
  <c r="D362" i="1"/>
  <c r="F362" i="1"/>
  <c r="B363" i="1"/>
  <c r="D363" i="1"/>
  <c r="F363" i="1"/>
  <c r="C364" i="1"/>
  <c r="E364" i="1"/>
  <c r="G364" i="1"/>
  <c r="C365" i="1"/>
  <c r="E365" i="1"/>
  <c r="F365" i="1"/>
  <c r="B366" i="1"/>
  <c r="D366" i="1"/>
  <c r="F366" i="1"/>
  <c r="B367" i="1"/>
  <c r="D367" i="1"/>
  <c r="F367" i="1"/>
  <c r="B368" i="1"/>
  <c r="E370" i="1"/>
  <c r="E372" i="1"/>
  <c r="G372" i="1"/>
  <c r="C373" i="1"/>
  <c r="E373" i="1"/>
  <c r="G373" i="1"/>
  <c r="C374" i="1"/>
  <c r="E374" i="1"/>
  <c r="G374" i="1"/>
  <c r="C375" i="1"/>
  <c r="E375" i="1"/>
  <c r="G375" i="1"/>
  <c r="C376" i="1"/>
  <c r="E376" i="1"/>
  <c r="G376" i="1"/>
  <c r="C377" i="1"/>
  <c r="E377" i="1"/>
  <c r="G377" i="1"/>
  <c r="C378" i="1"/>
  <c r="D378" i="1"/>
  <c r="G378" i="1"/>
  <c r="C379" i="1"/>
  <c r="E379" i="1"/>
  <c r="G379" i="1"/>
  <c r="C380" i="1"/>
  <c r="E380" i="1"/>
  <c r="G380" i="1"/>
  <c r="B381" i="1"/>
  <c r="C381" i="1"/>
  <c r="D381" i="1"/>
  <c r="E381" i="1"/>
  <c r="G381" i="1"/>
  <c r="C382" i="1"/>
  <c r="E382" i="1"/>
  <c r="G382" i="1"/>
  <c r="C383" i="1"/>
  <c r="E383" i="1"/>
  <c r="G383" i="1"/>
  <c r="C384" i="1"/>
  <c r="E384" i="1"/>
  <c r="G384" i="1"/>
  <c r="C385" i="1"/>
  <c r="E385" i="1"/>
  <c r="G385" i="1"/>
  <c r="C386" i="1"/>
  <c r="E386" i="1"/>
  <c r="G386" i="1"/>
  <c r="C387" i="1"/>
  <c r="E387" i="1"/>
  <c r="G387" i="1"/>
  <c r="C388" i="1"/>
  <c r="E388" i="1"/>
  <c r="G388" i="1"/>
  <c r="B389" i="1"/>
  <c r="C389" i="1"/>
  <c r="E389" i="1"/>
  <c r="G389" i="1"/>
  <c r="C390" i="1"/>
  <c r="E390" i="1"/>
  <c r="G390" i="1"/>
  <c r="C391" i="1"/>
  <c r="E391" i="1"/>
  <c r="G391" i="1"/>
  <c r="C392" i="1"/>
  <c r="D392" i="1"/>
  <c r="G392" i="1"/>
  <c r="C393" i="1"/>
  <c r="E393" i="1"/>
  <c r="G393" i="1"/>
  <c r="C394" i="1"/>
  <c r="E394" i="1"/>
  <c r="G394" i="1"/>
  <c r="C395" i="1"/>
  <c r="E395" i="1"/>
  <c r="G395" i="1"/>
  <c r="C396" i="1"/>
  <c r="E396" i="1"/>
  <c r="G396" i="1"/>
  <c r="C397" i="1"/>
  <c r="E397" i="1"/>
  <c r="G397" i="1"/>
  <c r="C398" i="1"/>
  <c r="E398" i="1"/>
  <c r="G398" i="1"/>
  <c r="C399" i="1"/>
  <c r="E399" i="1"/>
  <c r="G399" i="1"/>
  <c r="C400" i="1"/>
  <c r="E400" i="1"/>
  <c r="G400" i="1"/>
  <c r="C401" i="1"/>
  <c r="E401" i="1"/>
  <c r="G401" i="1"/>
  <c r="C402" i="1"/>
  <c r="E402" i="1"/>
  <c r="G402" i="1"/>
  <c r="C403" i="1"/>
  <c r="F403" i="1"/>
  <c r="C404" i="1"/>
  <c r="F404" i="1"/>
  <c r="B4" i="1"/>
  <c r="C4" i="1"/>
  <c r="D4" i="1"/>
  <c r="E4" i="1"/>
  <c r="F4" i="1"/>
  <c r="G4" i="1"/>
  <c r="B5" i="1"/>
  <c r="C5" i="1"/>
  <c r="D5" i="1"/>
  <c r="E5" i="1"/>
  <c r="F5" i="1"/>
  <c r="G5" i="1"/>
  <c r="B6" i="1"/>
  <c r="C6" i="1"/>
  <c r="D6" i="1"/>
  <c r="E6" i="1"/>
  <c r="F6" i="1"/>
  <c r="G6" i="1"/>
  <c r="B7" i="1"/>
  <c r="C7" i="1"/>
  <c r="D7" i="1"/>
  <c r="E7" i="1"/>
  <c r="F7" i="1"/>
  <c r="G7" i="1"/>
  <c r="B8" i="1"/>
  <c r="C8" i="1"/>
  <c r="D8" i="1"/>
  <c r="E8" i="1"/>
  <c r="F8" i="1"/>
  <c r="G8" i="1"/>
  <c r="B9" i="1"/>
  <c r="C9" i="1"/>
  <c r="D9" i="1"/>
  <c r="E9" i="1"/>
  <c r="F9" i="1"/>
  <c r="G9" i="1"/>
  <c r="B10" i="1"/>
  <c r="C10" i="1"/>
  <c r="D10" i="1"/>
  <c r="E10" i="1"/>
  <c r="F10" i="1"/>
  <c r="G10" i="1"/>
  <c r="B11" i="1"/>
  <c r="C11" i="1"/>
  <c r="D11" i="1"/>
  <c r="E11" i="1"/>
  <c r="F11" i="1"/>
  <c r="G11" i="1"/>
  <c r="B12" i="1"/>
  <c r="C12" i="1"/>
  <c r="D12" i="1"/>
  <c r="E12" i="1"/>
  <c r="F12" i="1"/>
  <c r="G12" i="1"/>
  <c r="B13" i="1"/>
  <c r="C13" i="1"/>
  <c r="D13" i="1"/>
  <c r="E13" i="1"/>
  <c r="F13" i="1"/>
  <c r="G13" i="1"/>
  <c r="B14" i="1"/>
  <c r="C14" i="1"/>
  <c r="D14" i="1"/>
  <c r="E14" i="1"/>
  <c r="F14" i="1"/>
  <c r="G14" i="1"/>
  <c r="B15" i="1"/>
  <c r="C15" i="1"/>
  <c r="D15" i="1"/>
  <c r="E15" i="1"/>
  <c r="F15" i="1"/>
  <c r="G15" i="1"/>
  <c r="B16" i="1"/>
  <c r="C16" i="1"/>
  <c r="D16" i="1"/>
  <c r="E16" i="1"/>
  <c r="F16" i="1"/>
  <c r="G16" i="1"/>
  <c r="B17" i="1"/>
  <c r="C17" i="1"/>
  <c r="D17" i="1"/>
  <c r="E17" i="1"/>
  <c r="F17" i="1"/>
  <c r="G17" i="1"/>
  <c r="B18" i="1"/>
  <c r="C18" i="1"/>
  <c r="D18" i="1"/>
  <c r="E18" i="1"/>
  <c r="F18" i="1"/>
  <c r="G18" i="1"/>
  <c r="B19" i="1"/>
  <c r="C19" i="1"/>
  <c r="D19" i="1"/>
  <c r="E19" i="1"/>
  <c r="F19" i="1"/>
  <c r="G19" i="1"/>
  <c r="B20" i="1"/>
  <c r="C20" i="1"/>
  <c r="D20" i="1"/>
  <c r="E20" i="1"/>
  <c r="F20" i="1"/>
  <c r="G20" i="1"/>
  <c r="B21" i="1"/>
  <c r="C21" i="1"/>
  <c r="D21" i="1"/>
  <c r="E21" i="1"/>
  <c r="F21" i="1"/>
  <c r="G21" i="1"/>
  <c r="B22" i="1"/>
  <c r="C22" i="1"/>
  <c r="D22" i="1"/>
  <c r="E22" i="1"/>
  <c r="F22" i="1"/>
  <c r="G22" i="1"/>
  <c r="B23" i="1"/>
  <c r="C23" i="1"/>
  <c r="D23" i="1"/>
  <c r="E23" i="1"/>
  <c r="F23" i="1"/>
  <c r="G23" i="1"/>
  <c r="B24" i="1"/>
  <c r="C24" i="1"/>
  <c r="D24" i="1"/>
  <c r="E24" i="1"/>
  <c r="F24" i="1"/>
  <c r="G24" i="1"/>
  <c r="B25" i="1"/>
  <c r="C25" i="1"/>
  <c r="D25" i="1"/>
  <c r="E25" i="1"/>
  <c r="F25" i="1"/>
  <c r="G25" i="1"/>
  <c r="B26" i="1"/>
  <c r="C26" i="1"/>
  <c r="D26" i="1"/>
  <c r="E26" i="1"/>
  <c r="F26" i="1"/>
  <c r="G26" i="1"/>
  <c r="B27" i="1"/>
  <c r="C27" i="1"/>
  <c r="D27" i="1"/>
  <c r="E27" i="1"/>
  <c r="F27" i="1"/>
  <c r="G27" i="1"/>
  <c r="B28" i="1"/>
  <c r="C28" i="1"/>
  <c r="D28" i="1"/>
  <c r="E28" i="1"/>
  <c r="F28" i="1"/>
  <c r="G28" i="1"/>
  <c r="B29" i="1"/>
  <c r="C29" i="1"/>
  <c r="D29" i="1"/>
  <c r="E29" i="1"/>
  <c r="F29" i="1"/>
  <c r="G29" i="1"/>
  <c r="B30" i="1"/>
  <c r="C30" i="1"/>
  <c r="D30" i="1"/>
  <c r="E30" i="1"/>
  <c r="F30" i="1"/>
  <c r="G30" i="1"/>
  <c r="B31" i="1"/>
  <c r="C31" i="1"/>
  <c r="D31" i="1"/>
  <c r="E31" i="1"/>
  <c r="F31" i="1"/>
  <c r="G31" i="1"/>
  <c r="B32" i="1"/>
  <c r="C32" i="1"/>
  <c r="D32" i="1"/>
  <c r="E32" i="1"/>
  <c r="F32" i="1"/>
  <c r="G32" i="1"/>
  <c r="B33" i="1"/>
  <c r="C33" i="1"/>
  <c r="D33" i="1"/>
  <c r="E33" i="1"/>
  <c r="F33" i="1"/>
  <c r="G33" i="1"/>
  <c r="B34" i="1"/>
  <c r="C34" i="1"/>
  <c r="D34" i="1"/>
  <c r="E34" i="1"/>
  <c r="F34" i="1"/>
  <c r="G34" i="1"/>
  <c r="B35" i="1"/>
  <c r="C35" i="1"/>
  <c r="D35" i="1"/>
  <c r="E35" i="1"/>
  <c r="F35" i="1"/>
  <c r="G35" i="1"/>
  <c r="B36" i="1"/>
  <c r="C36" i="1"/>
  <c r="D36" i="1"/>
  <c r="E36" i="1"/>
  <c r="F36" i="1"/>
  <c r="G36" i="1"/>
  <c r="B37" i="1"/>
  <c r="C37" i="1"/>
  <c r="D37" i="1"/>
  <c r="E37" i="1"/>
  <c r="F37" i="1"/>
  <c r="G37" i="1"/>
  <c r="B38" i="1"/>
  <c r="C38" i="1"/>
  <c r="D38" i="1"/>
  <c r="E38" i="1"/>
  <c r="F38" i="1"/>
  <c r="G38" i="1"/>
  <c r="B39" i="1"/>
  <c r="C39" i="1"/>
  <c r="D39" i="1"/>
  <c r="E39" i="1"/>
  <c r="F39" i="1"/>
  <c r="G39" i="1"/>
  <c r="B40" i="1"/>
  <c r="C40" i="1"/>
  <c r="D40" i="1"/>
  <c r="E40" i="1"/>
  <c r="F40" i="1"/>
  <c r="G40" i="1"/>
  <c r="B41" i="1"/>
  <c r="C41" i="1"/>
  <c r="D41" i="1"/>
  <c r="E41" i="1"/>
  <c r="F41" i="1"/>
  <c r="G41" i="1"/>
  <c r="B42" i="1"/>
  <c r="C42" i="1"/>
  <c r="D42" i="1"/>
  <c r="E42" i="1"/>
  <c r="F42" i="1"/>
  <c r="G42" i="1"/>
  <c r="B43" i="1"/>
  <c r="C43" i="1"/>
  <c r="D43" i="1"/>
  <c r="E43" i="1"/>
  <c r="F43" i="1"/>
  <c r="G43" i="1"/>
  <c r="B44" i="1"/>
  <c r="C44" i="1"/>
  <c r="D44" i="1"/>
  <c r="E44" i="1"/>
  <c r="F44" i="1"/>
  <c r="G44" i="1"/>
  <c r="B45" i="1"/>
  <c r="C45" i="1"/>
  <c r="D45" i="1"/>
  <c r="E45" i="1"/>
  <c r="F45" i="1"/>
  <c r="G45" i="1"/>
  <c r="B46" i="1"/>
  <c r="C46" i="1"/>
  <c r="D46" i="1"/>
  <c r="E46" i="1"/>
  <c r="F46" i="1"/>
  <c r="G46" i="1"/>
  <c r="B47" i="1"/>
  <c r="C47" i="1"/>
  <c r="D47" i="1"/>
  <c r="E47" i="1"/>
  <c r="F47" i="1"/>
  <c r="G47" i="1"/>
  <c r="B48" i="1"/>
  <c r="C48" i="1"/>
  <c r="D48" i="1"/>
  <c r="E48" i="1"/>
  <c r="F48" i="1"/>
  <c r="G48" i="1"/>
  <c r="B49" i="1"/>
  <c r="C49" i="1"/>
  <c r="D49" i="1"/>
  <c r="E49" i="1"/>
  <c r="F49" i="1"/>
  <c r="G49" i="1"/>
  <c r="B50" i="1"/>
  <c r="C50" i="1"/>
  <c r="D50" i="1"/>
  <c r="E50" i="1"/>
  <c r="F50" i="1"/>
  <c r="G50" i="1"/>
  <c r="B51" i="1"/>
  <c r="C51" i="1"/>
  <c r="D51" i="1"/>
  <c r="E51" i="1"/>
  <c r="F51" i="1"/>
  <c r="G51" i="1"/>
  <c r="B52" i="1"/>
  <c r="C52" i="1"/>
  <c r="D52" i="1"/>
  <c r="E52" i="1"/>
  <c r="F52" i="1"/>
  <c r="G52" i="1"/>
  <c r="B53" i="1"/>
  <c r="C53" i="1"/>
  <c r="D53" i="1"/>
  <c r="E53" i="1"/>
  <c r="F53" i="1"/>
  <c r="G53" i="1"/>
  <c r="B54" i="1"/>
  <c r="C54" i="1"/>
  <c r="D54" i="1"/>
  <c r="E54" i="1"/>
  <c r="F54" i="1"/>
  <c r="G54" i="1"/>
  <c r="B55" i="1"/>
  <c r="C55" i="1"/>
  <c r="D55" i="1"/>
  <c r="E55" i="1"/>
  <c r="F55" i="1"/>
  <c r="G55" i="1"/>
  <c r="B56" i="1"/>
  <c r="C56" i="1"/>
  <c r="D56" i="1"/>
  <c r="E56" i="1"/>
  <c r="F56" i="1"/>
  <c r="G56" i="1"/>
  <c r="B57" i="1"/>
  <c r="C57" i="1"/>
  <c r="D57" i="1"/>
  <c r="E57" i="1"/>
  <c r="F57" i="1"/>
  <c r="G57" i="1"/>
  <c r="B58" i="1"/>
  <c r="C58" i="1"/>
  <c r="D58" i="1"/>
  <c r="E58" i="1"/>
  <c r="F58" i="1"/>
  <c r="G58" i="1"/>
  <c r="B59" i="1"/>
  <c r="C59" i="1"/>
  <c r="D59" i="1"/>
  <c r="E59" i="1"/>
  <c r="F59" i="1"/>
  <c r="G59" i="1"/>
  <c r="B60" i="1"/>
  <c r="C60" i="1"/>
  <c r="D60" i="1"/>
  <c r="E60" i="1"/>
  <c r="F60" i="1"/>
  <c r="G60" i="1"/>
  <c r="B61" i="1"/>
  <c r="C61" i="1"/>
  <c r="D61" i="1"/>
  <c r="E61" i="1"/>
  <c r="F61" i="1"/>
  <c r="G61" i="1"/>
  <c r="B62" i="1"/>
  <c r="C62" i="1"/>
  <c r="D62" i="1"/>
  <c r="E62" i="1"/>
  <c r="F62" i="1"/>
  <c r="G62" i="1"/>
  <c r="B63" i="1"/>
  <c r="C63" i="1"/>
  <c r="D63" i="1"/>
  <c r="E63" i="1"/>
  <c r="F63" i="1"/>
  <c r="G63" i="1"/>
  <c r="B64" i="1"/>
  <c r="C64" i="1"/>
  <c r="D64" i="1"/>
  <c r="E64" i="1"/>
  <c r="F64" i="1"/>
  <c r="G64" i="1"/>
  <c r="B65" i="1"/>
  <c r="C65" i="1"/>
  <c r="D65" i="1"/>
  <c r="E65" i="1"/>
  <c r="F65" i="1"/>
  <c r="G65" i="1"/>
  <c r="B66" i="1"/>
  <c r="C66" i="1"/>
  <c r="D66" i="1"/>
  <c r="E66" i="1"/>
  <c r="F66" i="1"/>
  <c r="G66" i="1"/>
  <c r="B67" i="1"/>
  <c r="C67" i="1"/>
  <c r="D67" i="1"/>
  <c r="E67" i="1"/>
  <c r="F67" i="1"/>
  <c r="G67" i="1"/>
  <c r="B68" i="1"/>
  <c r="C68" i="1"/>
  <c r="D68" i="1"/>
  <c r="E68" i="1"/>
  <c r="F68" i="1"/>
  <c r="G68" i="1"/>
  <c r="B69" i="1"/>
  <c r="C69" i="1"/>
  <c r="D69" i="1"/>
  <c r="E69" i="1"/>
  <c r="F69" i="1"/>
  <c r="G73" i="1"/>
  <c r="B74" i="1"/>
  <c r="C74" i="1"/>
  <c r="D74" i="1"/>
  <c r="E74" i="1"/>
  <c r="F74" i="1"/>
  <c r="G74" i="1"/>
  <c r="B75" i="1"/>
  <c r="C75" i="1"/>
  <c r="D75" i="1"/>
  <c r="E75" i="1"/>
  <c r="F75" i="1"/>
  <c r="G75" i="1"/>
  <c r="B76" i="1"/>
  <c r="C76" i="1"/>
  <c r="D76" i="1"/>
  <c r="E76" i="1"/>
  <c r="F76" i="1"/>
  <c r="G76" i="1"/>
  <c r="B77" i="1"/>
  <c r="C77" i="1"/>
  <c r="D77" i="1"/>
  <c r="E77" i="1"/>
  <c r="F77" i="1"/>
  <c r="G77" i="1"/>
  <c r="B78" i="1"/>
  <c r="C78" i="1"/>
  <c r="D78" i="1"/>
  <c r="E78" i="1"/>
  <c r="F78" i="1"/>
  <c r="G78" i="1"/>
  <c r="B79" i="1"/>
  <c r="C79" i="1"/>
  <c r="D79" i="1"/>
  <c r="E79" i="1"/>
  <c r="F79" i="1"/>
  <c r="G79" i="1"/>
  <c r="B80" i="1"/>
  <c r="C80" i="1"/>
  <c r="D80" i="1"/>
  <c r="E80" i="1"/>
  <c r="F80" i="1"/>
  <c r="G80" i="1"/>
  <c r="B81" i="1"/>
  <c r="C81" i="1"/>
  <c r="D81" i="1"/>
  <c r="E81" i="1"/>
  <c r="F81" i="1"/>
  <c r="G81" i="1"/>
  <c r="B82" i="1"/>
  <c r="C82" i="1"/>
  <c r="D82" i="1"/>
  <c r="E82" i="1"/>
  <c r="F82" i="1"/>
  <c r="G82" i="1"/>
  <c r="B83" i="1"/>
  <c r="C83" i="1"/>
  <c r="D83" i="1"/>
  <c r="E83" i="1"/>
  <c r="F83" i="1"/>
  <c r="G83" i="1"/>
  <c r="B84" i="1"/>
  <c r="C84" i="1"/>
  <c r="D84" i="1"/>
  <c r="E84" i="1"/>
  <c r="F84" i="1"/>
  <c r="G84" i="1"/>
  <c r="B85" i="1"/>
  <c r="C85" i="1"/>
  <c r="D85" i="1"/>
  <c r="E85" i="1"/>
  <c r="F85" i="1"/>
  <c r="G85" i="1"/>
  <c r="B86" i="1"/>
  <c r="C86" i="1"/>
  <c r="D86" i="1"/>
  <c r="E86" i="1"/>
  <c r="F86" i="1"/>
  <c r="G86" i="1"/>
  <c r="B87" i="1"/>
  <c r="C87" i="1"/>
  <c r="D87" i="1"/>
  <c r="E87" i="1"/>
  <c r="F87" i="1"/>
  <c r="G87" i="1"/>
  <c r="B88" i="1"/>
  <c r="C88" i="1"/>
  <c r="D88" i="1"/>
  <c r="E88" i="1"/>
  <c r="F88" i="1"/>
  <c r="G88" i="1"/>
  <c r="B89" i="1"/>
  <c r="C89" i="1"/>
  <c r="D89" i="1"/>
  <c r="E89" i="1"/>
  <c r="F89" i="1"/>
  <c r="G89" i="1"/>
  <c r="B90" i="1"/>
  <c r="C90" i="1"/>
  <c r="D90" i="1"/>
  <c r="E90" i="1"/>
  <c r="F90" i="1"/>
  <c r="G90" i="1"/>
  <c r="B91" i="1"/>
  <c r="C91" i="1"/>
  <c r="D91" i="1"/>
  <c r="E91" i="1"/>
  <c r="F91" i="1"/>
  <c r="G91" i="1"/>
  <c r="B92" i="1"/>
  <c r="C92" i="1"/>
  <c r="D92" i="1"/>
  <c r="E92" i="1"/>
  <c r="F92" i="1"/>
  <c r="G92" i="1"/>
  <c r="B93" i="1"/>
  <c r="C93" i="1"/>
  <c r="D93" i="1"/>
  <c r="E93" i="1"/>
  <c r="F93" i="1"/>
  <c r="G93" i="1"/>
  <c r="B94" i="1"/>
  <c r="C94" i="1"/>
  <c r="D94" i="1"/>
  <c r="E94" i="1"/>
  <c r="F94" i="1"/>
  <c r="G94" i="1"/>
  <c r="B95" i="1"/>
  <c r="C95" i="1"/>
  <c r="D95" i="1"/>
  <c r="E95" i="1"/>
  <c r="F95" i="1"/>
  <c r="G95" i="1"/>
  <c r="B96" i="1"/>
  <c r="C96" i="1"/>
  <c r="D96" i="1"/>
  <c r="E96" i="1"/>
  <c r="F96" i="1"/>
  <c r="G96" i="1"/>
  <c r="B97" i="1"/>
  <c r="C97" i="1"/>
  <c r="D97" i="1"/>
  <c r="E97" i="1"/>
  <c r="F97" i="1"/>
  <c r="G97" i="1"/>
  <c r="B98" i="1"/>
  <c r="C98" i="1"/>
  <c r="D98" i="1"/>
  <c r="E98" i="1"/>
  <c r="F98" i="1"/>
  <c r="G98" i="1"/>
  <c r="B99" i="1"/>
  <c r="C99" i="1"/>
  <c r="D99" i="1"/>
  <c r="E99" i="1"/>
  <c r="F99" i="1"/>
  <c r="G99" i="1"/>
  <c r="B100" i="1"/>
  <c r="C100" i="1"/>
  <c r="D100" i="1"/>
  <c r="E100" i="1"/>
  <c r="F100" i="1"/>
  <c r="G100" i="1"/>
  <c r="B101" i="1"/>
  <c r="C101" i="1"/>
  <c r="D101" i="1"/>
  <c r="E101" i="1"/>
  <c r="F101" i="1"/>
  <c r="G101" i="1"/>
  <c r="B102" i="1"/>
  <c r="B18" i="10"/>
  <c r="B44" i="10" s="1"/>
  <c r="B57" i="10" s="1"/>
  <c r="B19" i="10"/>
  <c r="B45" i="10" s="1"/>
  <c r="B58" i="10" s="1"/>
  <c r="B20" i="10"/>
  <c r="B46" i="10" s="1"/>
  <c r="B59" i="10" s="1"/>
  <c r="B21" i="10"/>
  <c r="B47" i="10" s="1"/>
  <c r="B60" i="10" s="1"/>
  <c r="B22" i="10"/>
  <c r="B43" i="10"/>
  <c r="B56" i="10" s="1"/>
  <c r="C18" i="10"/>
  <c r="C44" i="10" s="1"/>
  <c r="C57" i="10" s="1"/>
  <c r="C20" i="10"/>
  <c r="C46" i="10" s="1"/>
  <c r="C59" i="10" s="1"/>
  <c r="C21" i="10"/>
  <c r="C47" i="10" s="1"/>
  <c r="C60" i="10" s="1"/>
  <c r="C22" i="10"/>
  <c r="C43" i="10"/>
  <c r="C56" i="10" s="1"/>
  <c r="C19" i="10"/>
  <c r="C45" i="10" s="1"/>
  <c r="C58" i="10" s="1"/>
  <c r="D18" i="10"/>
  <c r="D44" i="10" s="1"/>
  <c r="D57" i="10" s="1"/>
  <c r="D19" i="10"/>
  <c r="D45" i="10" s="1"/>
  <c r="D58" i="10" s="1"/>
  <c r="D20" i="10"/>
  <c r="D46" i="10" s="1"/>
  <c r="D59" i="10" s="1"/>
  <c r="D21" i="10"/>
  <c r="D47" i="10" s="1"/>
  <c r="D60" i="10" s="1"/>
  <c r="D22" i="10"/>
  <c r="D43" i="10"/>
  <c r="D56" i="10" s="1"/>
  <c r="G35" i="5"/>
  <c r="B38" i="5"/>
  <c r="D35" i="5"/>
  <c r="G50" i="4"/>
  <c r="G62" i="4" s="1"/>
  <c r="H35" i="5"/>
  <c r="C35" i="5"/>
  <c r="C11" i="8"/>
  <c r="C28" i="8"/>
  <c r="F35" i="5"/>
  <c r="B35" i="5"/>
  <c r="C10" i="7"/>
  <c r="B11" i="7"/>
  <c r="C11" i="7" s="1"/>
  <c r="D42" i="10" l="1"/>
  <c r="D55" i="10" s="1"/>
  <c r="D41" i="10"/>
  <c r="D54" i="10" s="1"/>
  <c r="D40" i="10"/>
  <c r="D53" i="10" s="1"/>
  <c r="D39" i="10"/>
  <c r="D52" i="10" s="1"/>
  <c r="D63" i="10" s="1"/>
  <c r="D65" i="10" s="1"/>
  <c r="B42" i="10"/>
  <c r="B55" i="10" s="1"/>
  <c r="B40" i="10"/>
  <c r="B53" i="10" s="1"/>
  <c r="B39" i="10"/>
  <c r="B52" i="10" s="1"/>
  <c r="B41" i="10"/>
  <c r="B54" i="10" s="1"/>
  <c r="C41" i="10"/>
  <c r="C54" i="10" s="1"/>
  <c r="C40" i="10"/>
  <c r="C53" i="10" s="1"/>
  <c r="C39" i="10"/>
  <c r="C52" i="10" s="1"/>
  <c r="C42" i="10"/>
  <c r="C55" i="10" s="1"/>
  <c r="G5" i="2"/>
  <c r="B69" i="10"/>
  <c r="B71" i="10" s="1"/>
  <c r="J15" i="6"/>
  <c r="J13" i="6"/>
  <c r="B48" i="10"/>
  <c r="B61" i="10" s="1"/>
  <c r="B23" i="10"/>
  <c r="B49" i="10" s="1"/>
  <c r="B62" i="10" s="1"/>
  <c r="C23" i="10"/>
  <c r="C49" i="10" s="1"/>
  <c r="C62" i="10" s="1"/>
  <c r="C48" i="10"/>
  <c r="C61" i="10" s="1"/>
  <c r="D23" i="10"/>
  <c r="D49" i="10" s="1"/>
  <c r="D62" i="10" s="1"/>
  <c r="D48" i="10"/>
  <c r="D61" i="10" s="1"/>
  <c r="B39" i="5"/>
  <c r="C39" i="5"/>
  <c r="D39" i="5"/>
  <c r="B22" i="9"/>
  <c r="F73" i="1"/>
  <c r="G303" i="1"/>
  <c r="B304" i="1"/>
  <c r="C304" i="1"/>
  <c r="E73" i="1"/>
  <c r="E304" i="1"/>
  <c r="F304" i="1"/>
  <c r="G304" i="1"/>
  <c r="B305" i="1"/>
  <c r="C305" i="1"/>
  <c r="D305" i="1"/>
  <c r="E305" i="1"/>
  <c r="F305" i="1"/>
  <c r="G305" i="1"/>
  <c r="B306" i="1"/>
  <c r="C306" i="1"/>
  <c r="D306" i="1"/>
  <c r="E306" i="1"/>
  <c r="F306" i="1"/>
  <c r="G306" i="1"/>
  <c r="B307" i="1"/>
  <c r="C307" i="1"/>
  <c r="D307" i="1"/>
  <c r="E307" i="1"/>
  <c r="F307" i="1"/>
  <c r="D345" i="1"/>
  <c r="E345" i="1"/>
  <c r="F345" i="1"/>
  <c r="G345" i="1"/>
  <c r="B346" i="1"/>
  <c r="C346" i="1"/>
  <c r="D346" i="1"/>
  <c r="D304" i="1"/>
  <c r="E346" i="1"/>
  <c r="F346" i="1"/>
  <c r="G346" i="1"/>
  <c r="B347" i="1"/>
  <c r="C347" i="1"/>
  <c r="D347" i="1"/>
  <c r="E347" i="1"/>
  <c r="F347" i="1"/>
  <c r="G347" i="1"/>
  <c r="G69" i="1"/>
  <c r="B70" i="1"/>
  <c r="C70" i="1"/>
  <c r="D70" i="1"/>
  <c r="E70" i="1"/>
  <c r="F70" i="1"/>
  <c r="G70" i="1"/>
  <c r="B71" i="1"/>
  <c r="C71" i="1"/>
  <c r="D71" i="1"/>
  <c r="E71" i="1"/>
  <c r="F71" i="1"/>
  <c r="G71" i="1"/>
  <c r="B72" i="1"/>
  <c r="C72" i="1"/>
  <c r="D72" i="1"/>
  <c r="E72" i="1"/>
  <c r="F72" i="1"/>
  <c r="G72" i="1"/>
  <c r="B73" i="1"/>
  <c r="C73" i="1"/>
  <c r="D73" i="1"/>
  <c r="B72" i="10" l="1"/>
  <c r="B73" i="10"/>
  <c r="B63" i="10"/>
  <c r="B65" i="10" s="1"/>
  <c r="C63" i="10"/>
  <c r="C65" i="10" s="1"/>
  <c r="B67" i="10" l="1"/>
  <c r="B75" i="10" s="1"/>
</calcChain>
</file>

<file path=xl/sharedStrings.xml><?xml version="1.0" encoding="utf-8"?>
<sst xmlns="http://schemas.openxmlformats.org/spreadsheetml/2006/main" count="623" uniqueCount="309">
  <si>
    <t>Line item</t>
  </si>
  <si>
    <t>Table A: Financial Comparison Between ADP and PAYX</t>
  </si>
  <si>
    <t>Machinery. Do not edit. Values the business at every stage one growth rate so the Implied growth tab can find the one that matches the price.</t>
  </si>
  <si>
    <t>9M FY2025</t>
  </si>
  <si>
    <t>Unit</t>
  </si>
  <si>
    <t>9M FY2026</t>
  </si>
  <si>
    <t>Line Item</t>
  </si>
  <si>
    <t>FY2018</t>
  </si>
  <si>
    <t>Change</t>
  </si>
  <si>
    <t>FY2019</t>
  </si>
  <si>
    <t>FY2025 YTD</t>
  </si>
  <si>
    <t>LTM Q3 FY2026</t>
  </si>
  <si>
    <t>LTM vs. FY2025</t>
  </si>
  <si>
    <t>FY2020</t>
  </si>
  <si>
    <t>Revenue, total</t>
  </si>
  <si>
    <t>FY2021</t>
  </si>
  <si>
    <t>FY2022</t>
  </si>
  <si>
    <t>FY2023</t>
  </si>
  <si>
    <t>FY2024</t>
  </si>
  <si>
    <t>FY2025</t>
  </si>
  <si>
    <t>Step</t>
  </si>
  <si>
    <t>Source Note</t>
  </si>
  <si>
    <t>Average</t>
  </si>
  <si>
    <t>Stage one growth</t>
  </si>
  <si>
    <t>Median</t>
  </si>
  <si>
    <t>Total revenue growth</t>
  </si>
  <si>
    <t>Lower 5y</t>
  </si>
  <si>
    <t>Lower 10y</t>
  </si>
  <si>
    <t>Yours 5y</t>
  </si>
  <si>
    <t>Yours 10y</t>
  </si>
  <si>
    <t>Higher 5y</t>
  </si>
  <si>
    <t>Higher 10y</t>
  </si>
  <si>
    <t>As Reported, Income Statement</t>
  </si>
  <si>
    <t>Annual reports for respective fiscal year</t>
  </si>
  <si>
    <t>MUSD</t>
  </si>
  <si>
    <t>Financial statements</t>
  </si>
  <si>
    <t>ADP</t>
  </si>
  <si>
    <t>Revenue, PEO Services (external clients)</t>
  </si>
  <si>
    <t>%</t>
  </si>
  <si>
    <t>Analysis of Reportable Segments</t>
  </si>
  <si>
    <t>Revenue PEO zero-margin pass throughs</t>
  </si>
  <si>
    <t>Revenue, PEO excluding pass throughs</t>
  </si>
  <si>
    <t>Interest on funds held for clients</t>
  </si>
  <si>
    <t>Paychex</t>
  </si>
  <si>
    <t>Net debt, excluding client funds</t>
  </si>
  <si>
    <t>EBIT-margin, group</t>
  </si>
  <si>
    <t>Interest on funds held for clients, total</t>
  </si>
  <si>
    <t>Cost of revenue, total</t>
  </si>
  <si>
    <t>Gross profit</t>
  </si>
  <si>
    <t>Net earnings</t>
  </si>
  <si>
    <t>Interest expense for short term financing</t>
  </si>
  <si>
    <t>EBIT-margin, group, excluding pass-through transactions</t>
  </si>
  <si>
    <t>Operating expenses, total</t>
  </si>
  <si>
    <t>Operating cash flow</t>
  </si>
  <si>
    <t>Operating profit</t>
  </si>
  <si>
    <t>Capital expeditures</t>
  </si>
  <si>
    <t>Additions to intangibles</t>
  </si>
  <si>
    <t>EBT, Employer Services</t>
  </si>
  <si>
    <t>EBT, PEO Services</t>
  </si>
  <si>
    <t>EBT, Other (overhead costs)</t>
  </si>
  <si>
    <t>EBT, total</t>
  </si>
  <si>
    <t>ROIC</t>
  </si>
  <si>
    <t>Provision for income taxes</t>
  </si>
  <si>
    <t>Effective tax rate, as reported</t>
  </si>
  <si>
    <t>ADP specific items</t>
  </si>
  <si>
    <t>Shares outstanding, diluted</t>
  </si>
  <si>
    <t>Million</t>
  </si>
  <si>
    <t>Client retention, Employer Services</t>
  </si>
  <si>
    <t>As Reported, Balance Sheet</t>
  </si>
  <si>
    <t>Cash and equivalents (corporate)</t>
  </si>
  <si>
    <t>Note: Corporate Investments and Funds Held for Clients</t>
  </si>
  <si>
    <t>Short term marketable securities (corporate)</t>
  </si>
  <si>
    <t>Goodwill</t>
  </si>
  <si>
    <t>Obligations under reverse repurchase agreements</t>
  </si>
  <si>
    <t>New bookings growth, Employer Services</t>
  </si>
  <si>
    <t>Obligations under commercial paper borrowings</t>
  </si>
  <si>
    <t>Long term debt</t>
  </si>
  <si>
    <t>PEO revenue per worksite employee, excluding pass through transactions</t>
  </si>
  <si>
    <t>USD per average worksite employees</t>
  </si>
  <si>
    <t>Operating lease liability, recognised</t>
  </si>
  <si>
    <t>Total equity</t>
  </si>
  <si>
    <t>Paychex specific items</t>
  </si>
  <si>
    <t>As Resported, Cash Flow Statement</t>
  </si>
  <si>
    <t>Client retention</t>
  </si>
  <si>
    <t>Capital expenditures</t>
  </si>
  <si>
    <t>Acquisitions, net of cash acquired</t>
  </si>
  <si>
    <t>Client base growth</t>
  </si>
  <si>
    <t>Repurchases of common stock</t>
  </si>
  <si>
    <t>Dividends paid</t>
  </si>
  <si>
    <t>Proceeds from issuance of debt</t>
  </si>
  <si>
    <t>Revenue per serviced employee</t>
  </si>
  <si>
    <t>USD per serviced employee</t>
  </si>
  <si>
    <t>Payments of debt</t>
  </si>
  <si>
    <t>Notes</t>
  </si>
  <si>
    <t>PEO revenue per worksite employee, excluding pass through transactions = PEO revenue / Average Worksite Employees.</t>
  </si>
  <si>
    <t>Dervided Measures From Reported Inputs</t>
  </si>
  <si>
    <t>Client base growth = (Client base Year 1 / Client base Year 0) - 1.</t>
  </si>
  <si>
    <t>Free cash flow, OFC less capex</t>
  </si>
  <si>
    <t>Revenue per serviced employee = Total revenue / Serviced employees.</t>
  </si>
  <si>
    <t>Sources</t>
  </si>
  <si>
    <t>Annual Reports of ADP and Paychex, respectively, for each fiscal year</t>
  </si>
  <si>
    <t>Free cash flow after intangible additions</t>
  </si>
  <si>
    <t>FY2023: CEO Black, CFO McGuire</t>
  </si>
  <si>
    <t>Metric</t>
  </si>
  <si>
    <t>Initial low</t>
  </si>
  <si>
    <t>Free cash flow per diluted share</t>
  </si>
  <si>
    <t>USD</t>
  </si>
  <si>
    <t>Initial high</t>
  </si>
  <si>
    <t>Q1 low</t>
  </si>
  <si>
    <t>Q1 high</t>
  </si>
  <si>
    <t>Q1 move</t>
  </si>
  <si>
    <t>Q2 low</t>
  </si>
  <si>
    <t>Q2 high</t>
  </si>
  <si>
    <t>Q2 move</t>
  </si>
  <si>
    <t>Q3 low</t>
  </si>
  <si>
    <t>Q3 high</t>
  </si>
  <si>
    <t>Q3 move</t>
  </si>
  <si>
    <t>Full year actual</t>
  </si>
  <si>
    <t>Actual vs. initial</t>
  </si>
  <si>
    <t>Raised</t>
  </si>
  <si>
    <t>Floor up</t>
  </si>
  <si>
    <t>Narrowed</t>
  </si>
  <si>
    <t>Unchanged</t>
  </si>
  <si>
    <t>Trimmed top</t>
  </si>
  <si>
    <t>Cut</t>
  </si>
  <si>
    <t>Mixed</t>
  </si>
  <si>
    <t>Beat</t>
  </si>
  <si>
    <t>Missed</t>
  </si>
  <si>
    <t>In range</t>
  </si>
  <si>
    <t>Revenue growth, %</t>
  </si>
  <si>
    <t>Total debt</t>
  </si>
  <si>
    <t>Invested capital, excluding client funds</t>
  </si>
  <si>
    <t>Invested capital, excluding client funds and goodwill</t>
  </si>
  <si>
    <t>Average invested capital, excluding client funds and goodwill</t>
  </si>
  <si>
    <t>NOPAT</t>
  </si>
  <si>
    <t>Derived Metrics</t>
  </si>
  <si>
    <t>Gross margin</t>
  </si>
  <si>
    <t>EBIT-margin group</t>
  </si>
  <si>
    <t>Interest income as a share of revenue</t>
  </si>
  <si>
    <t>Adjusted EBIT margin expansion, BPS</t>
  </si>
  <si>
    <t>Interest income as a share of EBIT</t>
  </si>
  <si>
    <t>Adjusted diluted EPS growth, %</t>
  </si>
  <si>
    <t>Cash conversion, FCF over revenue, excluding float income and expense</t>
  </si>
  <si>
    <t>Page</t>
  </si>
  <si>
    <t>p. 3</t>
  </si>
  <si>
    <t>p. 1</t>
  </si>
  <si>
    <t>Source</t>
  </si>
  <si>
    <t>https://s205.q4cdn.com/887941133/files/doc_financials/2022/q4/ADP-4Q22-Earnings-Release.pdf</t>
  </si>
  <si>
    <t>Cash conversion, FCF interest earnings over interest income</t>
  </si>
  <si>
    <t>Years present</t>
  </si>
  <si>
    <t>Accept or reject</t>
  </si>
  <si>
    <t>https://s205.q4cdn.com/887941133/files/doc_financials/2023/q1/ADP-1Q23-Earnings-Release.pdf</t>
  </si>
  <si>
    <t>https://s205.q4cdn.com/887941133/files/doc_financials/2023/q2/ADP-2Q23-Earnings-Release.pdf</t>
  </si>
  <si>
    <t>Cash conversion, FCF over revenue</t>
  </si>
  <si>
    <t>https://s205.q4cdn.com/887941133/files/doc_financials/2023/q3/ADP-3Q23-Earnings-Release.pdf</t>
  </si>
  <si>
    <t>Return on invested capital, excluding client funds</t>
  </si>
  <si>
    <t>https://s205.q4cdn.com/887941133/files/doc_financials/2023/q4/ADP-4Q23-Earnings-Release.pdf</t>
  </si>
  <si>
    <t>FY2024: CEO Black, CFO McGuire</t>
  </si>
  <si>
    <t>Return on invested capital, excluding client funds and goodwill</t>
  </si>
  <si>
    <t>All other interest expense</t>
  </si>
  <si>
    <t>Return on incremental capital, 3 year window</t>
  </si>
  <si>
    <t>Gain on sale of assets</t>
  </si>
  <si>
    <t>Return on incremental capital, 5 year window</t>
  </si>
  <si>
    <t>Accept since &lt;4</t>
  </si>
  <si>
    <t>Transformation initatives</t>
  </si>
  <si>
    <t>Reject since &gt;4</t>
  </si>
  <si>
    <t>Excess capacity severance charges</t>
  </si>
  <si>
    <t>Proxy contest matters</t>
  </si>
  <si>
    <t>Legal settlements</t>
  </si>
  <si>
    <t>Organizational initatives</t>
  </si>
  <si>
    <t>ADP adjusted EBIT</t>
  </si>
  <si>
    <t>ADP adjusted EBIT-margin</t>
  </si>
  <si>
    <t>Conditional Drivers</t>
  </si>
  <si>
    <t>Adjusted EBIT</t>
  </si>
  <si>
    <t>Average balance of client funds</t>
  </si>
  <si>
    <t>FINANCIAL CONDITION, LIQUIDITY AND CAPITAL RESOURCES</t>
  </si>
  <si>
    <t>Average yield on client funds</t>
  </si>
  <si>
    <t>Adjusted EBIT-margin</t>
  </si>
  <si>
    <t>Pays per control, growth</t>
  </si>
  <si>
    <t>Executive Overview</t>
  </si>
  <si>
    <t>Annual Report of Respective Fiscal Year, Non-GAAP Financial Measures</t>
  </si>
  <si>
    <t>Worksite employees, PEO</t>
  </si>
  <si>
    <t>PEO revenue per worksite employee, excluding pass through, USD</t>
  </si>
  <si>
    <t>USD per average worksite employee</t>
  </si>
  <si>
    <t>CAGR</t>
  </si>
  <si>
    <t>Revenue, excluding zero-margin pass through transactions</t>
  </si>
  <si>
    <t xml:space="preserve">p.1 </t>
  </si>
  <si>
    <t>Free cash flow after additions to intangibles</t>
  </si>
  <si>
    <t>https://s205.q4cdn.com/887941133/files/doc_financials/2024/q1/ADP-1Q24-Earnings-Release.pdf</t>
  </si>
  <si>
    <t>Average balcne of client funds</t>
  </si>
  <si>
    <t>https://s205.q4cdn.com/887941133/files/doc_financials/2024/q2/ADP-2Q24-Earnings-Release.pdf</t>
  </si>
  <si>
    <t>https://s205.q4cdn.com/887941133/files/doc_financials/2024/q3/ADP-3Q24-Earnings-Release.pdf</t>
  </si>
  <si>
    <t>Diluted shares outstanding</t>
  </si>
  <si>
    <t>https://s205.q4cdn.com/887941133/files/doc_financials/2024/q4/ADP-4Q24-Earnings-Release.pdf</t>
  </si>
  <si>
    <t>FY2025: CEO Black, CFO McGuire</t>
  </si>
  <si>
    <t>https://s205.q4cdn.com/887941133/files/doc_financials/2025/q1/ADP-1Q25-Earnings-Release.pdf</t>
  </si>
  <si>
    <t>https://s205.q4cdn.com/887941133/files/doc_financials/2025/q2/ADP-2Q25-Earnings-Release.pdf</t>
  </si>
  <si>
    <t>https://s205.q4cdn.com/887941133/files/doc_financials/2025/q3/ADP-3Q25-Earnings-Release.pdf</t>
  </si>
  <si>
    <t>https://s205.q4cdn.com/887941133/files/doc_financials/2025/q4/ADP-4Q25-Earnings-Release.pdf</t>
  </si>
  <si>
    <t>FY2026: CEO Black, CFO Hadley</t>
  </si>
  <si>
    <t>Use of cash</t>
  </si>
  <si>
    <t>Cumulative (MUSD)</t>
  </si>
  <si>
    <t>Share of cumulative operating cash flow</t>
  </si>
  <si>
    <t>Organic reinvestment, capex</t>
  </si>
  <si>
    <t>Organic reinvestment, intangibles</t>
  </si>
  <si>
    <t>Free cash flow</t>
  </si>
  <si>
    <t>Acquisitions</t>
  </si>
  <si>
    <t>Buybacks</t>
  </si>
  <si>
    <t>Dividends</t>
  </si>
  <si>
    <t>Net debt issued (repaid)</t>
  </si>
  <si>
    <t>Total allocation</t>
  </si>
  <si>
    <t>Residual</t>
  </si>
  <si>
    <t>https://s205.q4cdn.com/887941133/files/doc_financials/2026/q1/ADP-1Q26-Earnings-Release.pdf</t>
  </si>
  <si>
    <t>https://s205.q4cdn.com/887941133/files/doc_financials/2026/q2/ADP-2Q26-Earnings-Release.pdf</t>
  </si>
  <si>
    <t>https://s205.q4cdn.com/887941133/files/doc_financials/2026/q3/ADP-3Q26-Earnings-Release.pdf</t>
  </si>
  <si>
    <t>QoQ Guidance</t>
  </si>
  <si>
    <t>Absolute</t>
  </si>
  <si>
    <t>Value</t>
  </si>
  <si>
    <t>Note</t>
  </si>
  <si>
    <t>Cash spent on repurchases</t>
  </si>
  <si>
    <t>Unlevered beta, adjusted for cash</t>
  </si>
  <si>
    <t>https://pages.stern.nyu.edu/~adamodar/New_Home_Page/datafile/Betas.html</t>
  </si>
  <si>
    <t>Business &amp; Consumer Services</t>
  </si>
  <si>
    <t>Market capitalization</t>
  </si>
  <si>
    <t>YoY Guidance</t>
  </si>
  <si>
    <t>https://www.financecharts.com/stocks/ADP/summary/market-cap#google_vignette</t>
  </si>
  <si>
    <t>Financial statements, annual report</t>
  </si>
  <si>
    <t>Shares repurchased</t>
  </si>
  <si>
    <t>Share price, high for the fiscal year</t>
  </si>
  <si>
    <t>Debt ratio</t>
  </si>
  <si>
    <t>https://www.avanza.se/aktier/om-aktien.html/167073/automatic-data-processing</t>
  </si>
  <si>
    <t>https://d18rn0p25nwr6d.cloudfront.net/CIK-0000008670/f67fbd2f-82f7-4947-99e2-60d97247fb15.pdf</t>
  </si>
  <si>
    <t>Share price, low for the fiscal year</t>
  </si>
  <si>
    <t>Only corporate debt, long-term debt and lease liabilities and short term borrowings, thus excluding client funds, and assuming book value of debt = market value.</t>
  </si>
  <si>
    <t>Levered beta</t>
  </si>
  <si>
    <t>Derived</t>
  </si>
  <si>
    <t>Average price paid per share</t>
  </si>
  <si>
    <t>Assuming effective tax rate as of FY2025.</t>
  </si>
  <si>
    <t>Risk-free rate</t>
  </si>
  <si>
    <t>https://etfdb.com/fixed-income-content-hub/may-22-2026-treasury-yields-snapshot/</t>
  </si>
  <si>
    <t>Position in the year's rnage. 0% = bought at the low</t>
  </si>
  <si>
    <t>Equity risk premium</t>
  </si>
  <si>
    <t>https://pages.stern.nyu.edu/~adamodar/New_Home_Page/datafile/ctryprem.html</t>
  </si>
  <si>
    <t>Cost of equity</t>
  </si>
  <si>
    <t>Cost of debt</t>
  </si>
  <si>
    <t>WACC</t>
  </si>
  <si>
    <t>Assuming effective tax rate FY2025</t>
  </si>
  <si>
    <t>Free cash flow yield at average price paid</t>
  </si>
  <si>
    <t>Free cash flow, base year ($m)</t>
  </si>
  <si>
    <t>Normalisation adjustment ($m)</t>
  </si>
  <si>
    <t>Shares repurchased as % of diluted shares</t>
  </si>
  <si>
    <t>Share price ($)</t>
  </si>
  <si>
    <t>https://finance.yahoo.com/quote/ADP/history/?guccounter=1&amp;guce_referrer=aHR0cHM6Ly93d3cuZ29vZ2xlLmNvbS8&amp;guce_referrer_sig=AQAAADeuswNWL9UeEbH-sr8f7mtJLQQWWtVLQODkGEvTJ0QYpvfMg9Ae2YlsBEJ2SzwAxzfb87cH4jJgw1p1IpmJC9tSeTsfqjD9TbvZFgL1n3N6YeSzi68j8PWs7ClF_4c5mFd414MOvbtWXBwsGLw_B9kQE3VLloQ97i9_nOqfoL74</t>
  </si>
  <si>
    <t>22 May 2026, close</t>
  </si>
  <si>
    <t>Diluted shares (m)</t>
  </si>
  <si>
    <t>Note 5</t>
  </si>
  <si>
    <t>Required return</t>
  </si>
  <si>
    <t>Benchmarks</t>
  </si>
  <si>
    <t>Current share price</t>
  </si>
  <si>
    <t>22 May, close</t>
  </si>
  <si>
    <t>Long run growth after stage one</t>
  </si>
  <si>
    <t>https://www.cbo.gov/publication/62105</t>
  </si>
  <si>
    <t>Sensitivity step</t>
  </si>
  <si>
    <t>Implied perpetual growth</t>
  </si>
  <si>
    <t>Intrinsic value per share</t>
  </si>
  <si>
    <t>Average price paid against current price</t>
  </si>
  <si>
    <t>Case</t>
  </si>
  <si>
    <t>Long run rate</t>
  </si>
  <si>
    <t>5 years</t>
  </si>
  <si>
    <t>10 years</t>
  </si>
  <si>
    <t>Lower long run rate</t>
  </si>
  <si>
    <t>Average price paid against intrinsic value</t>
  </si>
  <si>
    <t>Value created or destroued, that year's buyback</t>
  </si>
  <si>
    <t>Summary</t>
  </si>
  <si>
    <t>Total spent on buybacks</t>
  </si>
  <si>
    <t>Total shares repurchased</t>
  </si>
  <si>
    <t>Weighted average price paid</t>
  </si>
  <si>
    <t>Weighted average against current price</t>
  </si>
  <si>
    <t>Years bought in the lower half of the range</t>
  </si>
  <si>
    <t>Years</t>
  </si>
  <si>
    <t>Cumulative value created or destroyed</t>
  </si>
  <si>
    <t>Base long run rate</t>
  </si>
  <si>
    <t>Higher long run rate</t>
  </si>
  <si>
    <t>ASSUMPTIONS</t>
  </si>
  <si>
    <t>Bear</t>
  </si>
  <si>
    <t>Base</t>
  </si>
  <si>
    <t>Best</t>
  </si>
  <si>
    <t>FCF-revenue conversion, excluding interest</t>
  </si>
  <si>
    <t>FCF-interest conversion</t>
  </si>
  <si>
    <t>Average client fund balance</t>
  </si>
  <si>
    <t>First 5 year revenue nominal CAGR</t>
  </si>
  <si>
    <t>https://mjbaldbard.wordpress.com/wp-content/uploads/2020/09/michael-mauboussin-e28093-base-rate-books-2015-2016.pdf</t>
  </si>
  <si>
    <t>Year 6-10 revenue nominal CAGR</t>
  </si>
  <si>
    <t>Perpetual growth rate, CAGR, nominal</t>
  </si>
  <si>
    <t>Net debt</t>
  </si>
  <si>
    <t>Diluted outstanding shares at year 11</t>
  </si>
  <si>
    <t>REVENUE, EXCLUDING INTEREST</t>
  </si>
  <si>
    <t>REVENUE, INTEREST</t>
  </si>
  <si>
    <t>FREE CASH FLOW</t>
  </si>
  <si>
    <t>DISCOUNTED FREE CASH FLOW</t>
  </si>
  <si>
    <t>Total</t>
  </si>
  <si>
    <t>Assigned probabilities</t>
  </si>
  <si>
    <t>Expected value</t>
  </si>
  <si>
    <t>EPS Year 10</t>
  </si>
  <si>
    <t>Exit multiple</t>
  </si>
  <si>
    <t>Value per share</t>
  </si>
  <si>
    <t>Total 10 Year Return</t>
  </si>
  <si>
    <t>10 Year CAGR</t>
  </si>
  <si>
    <t>Value per share with 25% margin of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</si>
</sst>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0%;\(0.00%\);\-"/>
    <numFmt numFmtId="166" formatCode="#,##0.0;\(#,##0.0\);\-"/>
    <numFmt numFmtId="167" formatCode="#,##0.0000"/>
    <numFmt numFmtId="168" formatCode="#,##0.000"/>
  </numFmts>
  <fonts count="20" x14ac:knownFonts="1">
    <font>
      <sz val="10"/>
      <color rgb="FF000000"/>
      <name val="Calibri"/>
      <scheme val="minor"/>
    </font>
    <font>
      <b/>
      <sz val="10"/>
      <color theme="1"/>
      <name val="Calibri"/>
      <scheme val="minor"/>
    </font>
    <font>
      <i/>
      <sz val="10"/>
      <color rgb="FF555555"/>
      <name val="Arial"/>
    </font>
    <font>
      <sz val="11"/>
      <color theme="1"/>
      <name val="Calibri"/>
    </font>
    <font>
      <sz val="10"/>
      <color theme="1"/>
      <name val="Calibri"/>
      <scheme val="minor"/>
    </font>
    <font>
      <b/>
      <sz val="10"/>
      <color theme="1"/>
      <name val="Arial"/>
    </font>
    <font>
      <sz val="10"/>
      <name val="Calibri"/>
    </font>
    <font>
      <sz val="10"/>
      <color theme="1"/>
      <name val="Calibri"/>
    </font>
    <font>
      <sz val="10"/>
      <color theme="1"/>
      <name val="Arial"/>
    </font>
    <font>
      <i/>
      <sz val="10"/>
      <color theme="1"/>
      <name val="Calibri"/>
      <scheme val="minor"/>
    </font>
    <font>
      <u/>
      <sz val="10"/>
      <color rgb="FF0000FF"/>
      <name val="Calibri"/>
    </font>
    <font>
      <u/>
      <sz val="10"/>
      <color rgb="FF0000FF"/>
      <name val="Calibri"/>
    </font>
    <font>
      <b/>
      <sz val="10"/>
      <color theme="1"/>
      <name val="Arial"/>
    </font>
    <font>
      <sz val="10"/>
      <color theme="1"/>
      <name val="Arial"/>
    </font>
    <font>
      <i/>
      <sz val="10"/>
      <color theme="1"/>
      <name val="Arial"/>
    </font>
    <font>
      <u/>
      <sz val="10"/>
      <color rgb="FF0000FF"/>
      <name val="Calibri"/>
    </font>
    <font>
      <b/>
      <i/>
      <sz val="10"/>
      <color theme="1"/>
      <name val="Calibri"/>
      <scheme val="minor"/>
    </font>
    <font>
      <sz val="10"/>
      <color rgb="FF000000"/>
      <name val="Arial"/>
    </font>
    <font>
      <b/>
      <i/>
      <sz val="10"/>
      <color theme="1"/>
      <name val="Arial"/>
    </font>
    <font>
      <i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EDEDED"/>
        <bgColor rgb="FFEDEDED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0" borderId="2" xfId="0" applyFont="1" applyBorder="1"/>
    <xf numFmtId="0" fontId="3" fillId="2" borderId="1" xfId="0" applyFont="1" applyFill="1" applyBorder="1"/>
    <xf numFmtId="0" fontId="4" fillId="0" borderId="0" xfId="0" applyFont="1"/>
    <xf numFmtId="164" fontId="4" fillId="0" borderId="0" xfId="0" applyNumberFormat="1" applyFont="1"/>
    <xf numFmtId="0" fontId="1" fillId="0" borderId="2" xfId="0" applyFont="1" applyBorder="1" applyAlignment="1">
      <alignment horizontal="center"/>
    </xf>
    <xf numFmtId="165" fontId="3" fillId="2" borderId="1" xfId="0" applyNumberFormat="1" applyFont="1" applyFill="1" applyBorder="1"/>
    <xf numFmtId="0" fontId="5" fillId="2" borderId="1" xfId="0" applyFont="1" applyFill="1" applyBorder="1"/>
    <xf numFmtId="0" fontId="1" fillId="0" borderId="3" xfId="0" applyFont="1" applyBorder="1"/>
    <xf numFmtId="10" fontId="4" fillId="0" borderId="0" xfId="0" applyNumberFormat="1" applyFont="1"/>
    <xf numFmtId="0" fontId="4" fillId="0" borderId="2" xfId="0" applyFont="1" applyBorder="1"/>
    <xf numFmtId="10" fontId="4" fillId="0" borderId="2" xfId="0" applyNumberFormat="1" applyFont="1" applyBorder="1"/>
    <xf numFmtId="0" fontId="7" fillId="0" borderId="0" xfId="0" applyFont="1"/>
    <xf numFmtId="164" fontId="7" fillId="0" borderId="0" xfId="0" applyNumberFormat="1" applyFont="1" applyAlignment="1">
      <alignment horizontal="right"/>
    </xf>
    <xf numFmtId="0" fontId="1" fillId="0" borderId="4" xfId="0" applyFont="1" applyBorder="1"/>
    <xf numFmtId="166" fontId="8" fillId="2" borderId="1" xfId="0" applyNumberFormat="1" applyFont="1" applyFill="1" applyBorder="1"/>
    <xf numFmtId="4" fontId="4" fillId="0" borderId="2" xfId="0" applyNumberFormat="1" applyFont="1" applyBorder="1"/>
    <xf numFmtId="4" fontId="1" fillId="0" borderId="0" xfId="0" applyNumberFormat="1" applyFont="1"/>
    <xf numFmtId="4" fontId="4" fillId="0" borderId="0" xfId="0" applyNumberFormat="1" applyFont="1"/>
    <xf numFmtId="4" fontId="9" fillId="0" borderId="2" xfId="0" applyNumberFormat="1" applyFont="1" applyBorder="1"/>
    <xf numFmtId="2" fontId="4" fillId="0" borderId="0" xfId="0" applyNumberFormat="1" applyFont="1"/>
    <xf numFmtId="3" fontId="4" fillId="0" borderId="2" xfId="0" applyNumberFormat="1" applyFont="1" applyBorder="1"/>
    <xf numFmtId="0" fontId="4" fillId="3" borderId="0" xfId="0" applyFont="1" applyFill="1"/>
    <xf numFmtId="2" fontId="4" fillId="3" borderId="0" xfId="0" applyNumberFormat="1" applyFont="1" applyFill="1"/>
    <xf numFmtId="0" fontId="1" fillId="3" borderId="0" xfId="0" applyFont="1" applyFill="1"/>
    <xf numFmtId="10" fontId="4" fillId="3" borderId="0" xfId="0" applyNumberFormat="1" applyFont="1" applyFill="1"/>
    <xf numFmtId="4" fontId="10" fillId="0" borderId="0" xfId="0" applyNumberFormat="1" applyFont="1"/>
    <xf numFmtId="0" fontId="11" fillId="0" borderId="0" xfId="0" applyFont="1"/>
    <xf numFmtId="164" fontId="4" fillId="3" borderId="0" xfId="0" applyNumberFormat="1" applyFont="1" applyFill="1"/>
    <xf numFmtId="3" fontId="4" fillId="3" borderId="0" xfId="0" applyNumberFormat="1" applyFont="1" applyFill="1"/>
    <xf numFmtId="4" fontId="4" fillId="3" borderId="0" xfId="0" applyNumberFormat="1" applyFont="1" applyFill="1"/>
    <xf numFmtId="4" fontId="12" fillId="0" borderId="0" xfId="0" applyNumberFormat="1" applyFont="1"/>
    <xf numFmtId="4" fontId="13" fillId="0" borderId="0" xfId="0" applyNumberFormat="1" applyFont="1"/>
    <xf numFmtId="4" fontId="13" fillId="0" borderId="2" xfId="0" applyNumberFormat="1" applyFont="1" applyBorder="1"/>
    <xf numFmtId="4" fontId="14" fillId="0" borderId="2" xfId="0" applyNumberFormat="1" applyFont="1" applyBorder="1"/>
    <xf numFmtId="3" fontId="13" fillId="0" borderId="2" xfId="0" applyNumberFormat="1" applyFont="1" applyBorder="1" applyAlignment="1">
      <alignment horizontal="right"/>
    </xf>
    <xf numFmtId="164" fontId="1" fillId="0" borderId="0" xfId="0" applyNumberFormat="1" applyFont="1"/>
    <xf numFmtId="10" fontId="1" fillId="0" borderId="0" xfId="0" applyNumberFormat="1" applyFont="1"/>
    <xf numFmtId="0" fontId="9" fillId="0" borderId="0" xfId="0" applyFont="1"/>
    <xf numFmtId="164" fontId="9" fillId="0" borderId="0" xfId="0" applyNumberFormat="1" applyFont="1"/>
    <xf numFmtId="10" fontId="9" fillId="0" borderId="0" xfId="0" applyNumberFormat="1" applyFont="1"/>
    <xf numFmtId="4" fontId="1" fillId="0" borderId="2" xfId="0" applyNumberFormat="1" applyFont="1" applyBorder="1"/>
    <xf numFmtId="0" fontId="3" fillId="0" borderId="0" xfId="0" applyFont="1"/>
    <xf numFmtId="3" fontId="4" fillId="0" borderId="0" xfId="0" applyNumberFormat="1" applyFont="1"/>
    <xf numFmtId="167" fontId="4" fillId="0" borderId="0" xfId="0" applyNumberFormat="1" applyFont="1"/>
    <xf numFmtId="168" fontId="4" fillId="0" borderId="0" xfId="0" applyNumberFormat="1" applyFont="1"/>
    <xf numFmtId="0" fontId="15" fillId="0" borderId="0" xfId="0" applyFont="1"/>
    <xf numFmtId="0" fontId="16" fillId="0" borderId="0" xfId="0" applyFont="1"/>
    <xf numFmtId="2" fontId="9" fillId="0" borderId="0" xfId="0" applyNumberFormat="1" applyFont="1"/>
    <xf numFmtId="0" fontId="5" fillId="0" borderId="0" xfId="0" applyFont="1"/>
    <xf numFmtId="166" fontId="17" fillId="0" borderId="0" xfId="0" applyNumberFormat="1" applyFont="1"/>
    <xf numFmtId="10" fontId="17" fillId="0" borderId="0" xfId="0" applyNumberFormat="1" applyFont="1"/>
    <xf numFmtId="0" fontId="18" fillId="0" borderId="0" xfId="0" applyFont="1"/>
    <xf numFmtId="165" fontId="19" fillId="0" borderId="0" xfId="0" applyNumberFormat="1" applyFont="1"/>
    <xf numFmtId="165" fontId="5" fillId="0" borderId="0" xfId="0" applyNumberFormat="1" applyFont="1"/>
    <xf numFmtId="165" fontId="18" fillId="0" borderId="0" xfId="0" applyNumberFormat="1" applyFont="1"/>
    <xf numFmtId="1" fontId="4" fillId="0" borderId="0" xfId="0" applyNumberFormat="1" applyFont="1"/>
    <xf numFmtId="0" fontId="8" fillId="0" borderId="0" xfId="0" applyFont="1"/>
    <xf numFmtId="165" fontId="8" fillId="0" borderId="0" xfId="0" applyNumberFormat="1" applyFont="1"/>
    <xf numFmtId="0" fontId="19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/>
    <xf numFmtId="0" fontId="6" fillId="0" borderId="4" xfId="0" applyFont="1" applyBorder="1"/>
    <xf numFmtId="0" fontId="6" fillId="0" borderId="5" xfId="0" applyFont="1" applyBorder="1"/>
  </cellXfs>
  <cellStyles count="1">
    <cellStyle name="Normal" xfId="0" builtinId="0"/>
  </cellStyles>
  <dxfs count="1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none"/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3C47D"/>
          <bgColor rgb="FF93C47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s205.q4cdn.com/887941133/files/doc_financials/2024/q2/ADP-2Q24-Earnings-Release.pdf" TargetMode="External"/><Relationship Id="rId13" Type="http://schemas.openxmlformats.org/officeDocument/2006/relationships/hyperlink" Target="https://s205.q4cdn.com/887941133/files/doc_financials/2025/q2/ADP-2Q25-Earnings-Release.pdf" TargetMode="External"/><Relationship Id="rId18" Type="http://schemas.openxmlformats.org/officeDocument/2006/relationships/hyperlink" Target="https://s205.q4cdn.com/887941133/files/doc_financials/2026/q2/ADP-2Q26-Earnings-Release.pdf" TargetMode="External"/><Relationship Id="rId3" Type="http://schemas.openxmlformats.org/officeDocument/2006/relationships/hyperlink" Target="https://s205.q4cdn.com/887941133/files/doc_financials/2023/q2/ADP-2Q23-Earnings-Release.pdf" TargetMode="External"/><Relationship Id="rId7" Type="http://schemas.openxmlformats.org/officeDocument/2006/relationships/hyperlink" Target="https://s205.q4cdn.com/887941133/files/doc_financials/2024/q1/ADP-1Q24-Earnings-Release.pdf" TargetMode="External"/><Relationship Id="rId12" Type="http://schemas.openxmlformats.org/officeDocument/2006/relationships/hyperlink" Target="https://s205.q4cdn.com/887941133/files/doc_financials/2025/q1/ADP-1Q25-Earnings-Release.pdf" TargetMode="External"/><Relationship Id="rId17" Type="http://schemas.openxmlformats.org/officeDocument/2006/relationships/hyperlink" Target="https://s205.q4cdn.com/887941133/files/doc_financials/2026/q1/ADP-1Q26-Earnings-Release.pdf" TargetMode="External"/><Relationship Id="rId2" Type="http://schemas.openxmlformats.org/officeDocument/2006/relationships/hyperlink" Target="https://s205.q4cdn.com/887941133/files/doc_financials/2023/q1/ADP-1Q23-Earnings-Release.pdf" TargetMode="External"/><Relationship Id="rId16" Type="http://schemas.openxmlformats.org/officeDocument/2006/relationships/hyperlink" Target="https://s205.q4cdn.com/887941133/files/doc_financials/2025/q4/ADP-4Q25-Earnings-Release.pdf" TargetMode="External"/><Relationship Id="rId1" Type="http://schemas.openxmlformats.org/officeDocument/2006/relationships/hyperlink" Target="https://s205.q4cdn.com/887941133/files/doc_financials/2022/q4/ADP-4Q22-Earnings-Release.pdf" TargetMode="External"/><Relationship Id="rId6" Type="http://schemas.openxmlformats.org/officeDocument/2006/relationships/hyperlink" Target="https://s205.q4cdn.com/887941133/files/doc_financials/2023/q4/ADP-4Q23-Earnings-Release.pdf" TargetMode="External"/><Relationship Id="rId11" Type="http://schemas.openxmlformats.org/officeDocument/2006/relationships/hyperlink" Target="https://s205.q4cdn.com/887941133/files/doc_financials/2024/q4/ADP-4Q24-Earnings-Release.pdf" TargetMode="External"/><Relationship Id="rId5" Type="http://schemas.openxmlformats.org/officeDocument/2006/relationships/hyperlink" Target="https://s205.q4cdn.com/887941133/files/doc_financials/2023/q4/ADP-4Q23-Earnings-Release.pdf" TargetMode="External"/><Relationship Id="rId15" Type="http://schemas.openxmlformats.org/officeDocument/2006/relationships/hyperlink" Target="https://s205.q4cdn.com/887941133/files/doc_financials/2025/q4/ADP-4Q25-Earnings-Release.pdf" TargetMode="External"/><Relationship Id="rId10" Type="http://schemas.openxmlformats.org/officeDocument/2006/relationships/hyperlink" Target="https://s205.q4cdn.com/887941133/files/doc_financials/2024/q4/ADP-4Q24-Earnings-Release.pdf" TargetMode="External"/><Relationship Id="rId19" Type="http://schemas.openxmlformats.org/officeDocument/2006/relationships/hyperlink" Target="https://s205.q4cdn.com/887941133/files/doc_financials/2026/q3/ADP-3Q26-Earnings-Release.pdf" TargetMode="External"/><Relationship Id="rId4" Type="http://schemas.openxmlformats.org/officeDocument/2006/relationships/hyperlink" Target="https://s205.q4cdn.com/887941133/files/doc_financials/2023/q3/ADP-3Q23-Earnings-Release.pdf" TargetMode="External"/><Relationship Id="rId9" Type="http://schemas.openxmlformats.org/officeDocument/2006/relationships/hyperlink" Target="https://s205.q4cdn.com/887941133/files/doc_financials/2024/q3/ADP-3Q24-Earnings-Release.pdf" TargetMode="External"/><Relationship Id="rId14" Type="http://schemas.openxmlformats.org/officeDocument/2006/relationships/hyperlink" Target="https://s205.q4cdn.com/887941133/files/doc_financials/2025/q3/ADP-3Q25-Earnings-Release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ce.yahoo.com/quote/ADP/history/?guccounter=1&amp;guce_referrer=aHR0cHM6Ly93d3cuZ29vZ2xlLmNvbS8&amp;guce_referrer_sig=AQAAADeuswNWL9UeEbH-sr8f7mtJLQQWWtVLQODkGEvTJ0QYpvfMg9Ae2YlsBEJ2SzwAxzfb87cH4jJgw1p1IpmJC9tSeTsfqjD9TbvZFgL1n3N6YeSzi68j8PWs7ClF_4c5mFd414MOvbtWXBwsGLw_B9kQE3VLloQ97i9_nOqfoL74" TargetMode="External"/><Relationship Id="rId2" Type="http://schemas.openxmlformats.org/officeDocument/2006/relationships/hyperlink" Target="https://www.avanza.se/aktier/om-aktien.html/167073/automatic-data-processing" TargetMode="External"/><Relationship Id="rId1" Type="http://schemas.openxmlformats.org/officeDocument/2006/relationships/hyperlink" Target="https://www.avanza.se/aktier/om-aktien.html/167073/automatic-data-processing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d18rn0p25nwr6d.cloudfront.net/CIK-0000008670/f67fbd2f-82f7-4947-99e2-60d97247fb15.pdf" TargetMode="External"/><Relationship Id="rId3" Type="http://schemas.openxmlformats.org/officeDocument/2006/relationships/hyperlink" Target="https://d18rn0p25nwr6d.cloudfront.net/CIK-0000008670/f67fbd2f-82f7-4947-99e2-60d97247fb15.pdf" TargetMode="External"/><Relationship Id="rId7" Type="http://schemas.openxmlformats.org/officeDocument/2006/relationships/hyperlink" Target="https://finance.yahoo.com/quote/ADP/history/?guccounter=1&amp;guce_referrer=aHR0cHM6Ly93d3cuZ29vZ2xlLmNvbS8&amp;guce_referrer_sig=AQAAADeuswNWL9UeEbH-sr8f7mtJLQQWWtVLQODkGEvTJ0QYpvfMg9Ae2YlsBEJ2SzwAxzfb87cH4jJgw1p1IpmJC9tSeTsfqjD9TbvZFgL1n3N6YeSzi68j8PWs7ClF_4c5mFd414MOvbtWXBwsGLw_B9kQE3VLloQ97i9_nOqfoL74" TargetMode="External"/><Relationship Id="rId2" Type="http://schemas.openxmlformats.org/officeDocument/2006/relationships/hyperlink" Target="https://www.financecharts.com/stocks/ADP/summary/market-cap" TargetMode="External"/><Relationship Id="rId1" Type="http://schemas.openxmlformats.org/officeDocument/2006/relationships/hyperlink" Target="https://pages.stern.nyu.edu/~adamodar/New_Home_Page/datafile/Betas.html" TargetMode="External"/><Relationship Id="rId6" Type="http://schemas.openxmlformats.org/officeDocument/2006/relationships/hyperlink" Target="https://d18rn0p25nwr6d.cloudfront.net/CIK-0000008670/f67fbd2f-82f7-4947-99e2-60d97247fb15.pdf" TargetMode="External"/><Relationship Id="rId5" Type="http://schemas.openxmlformats.org/officeDocument/2006/relationships/hyperlink" Target="https://pages.stern.nyu.edu/~adamodar/New_Home_Page/datafile/ctryprem.html" TargetMode="External"/><Relationship Id="rId4" Type="http://schemas.openxmlformats.org/officeDocument/2006/relationships/hyperlink" Target="https://etfdb.com/fixed-income-content-hub/may-22-2026-treasury-yields-snapshot/" TargetMode="External"/><Relationship Id="rId9" Type="http://schemas.openxmlformats.org/officeDocument/2006/relationships/hyperlink" Target="https://www.cbo.gov/publication/62105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d18rn0p25nwr6d.cloudfront.net/CIK-0000008670/f67fbd2f-82f7-4947-99e2-60d97247fb15.pdf" TargetMode="External"/><Relationship Id="rId2" Type="http://schemas.openxmlformats.org/officeDocument/2006/relationships/hyperlink" Target="https://www.cbo.gov/publication/62105" TargetMode="External"/><Relationship Id="rId1" Type="http://schemas.openxmlformats.org/officeDocument/2006/relationships/hyperlink" Target="https://mjbaldbard.wordpress.com/wp-content/uploads/2020/09/michael-mauboussin-e28093-base-rate-books-2015-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opLeftCell="A125" workbookViewId="0">
      <selection activeCell="E14" sqref="E14"/>
    </sheetView>
  </sheetViews>
  <sheetFormatPr baseColWidth="10" defaultColWidth="14.3984375" defaultRowHeight="15.75" customHeight="1" x14ac:dyDescent="0.2"/>
  <cols>
    <col min="1" max="7" width="14" customWidth="1"/>
    <col min="8" max="26" width="8.796875" customWidth="1"/>
  </cols>
  <sheetData>
    <row r="1" spans="1:7" x14ac:dyDescent="0.2">
      <c r="A1" s="2" t="s">
        <v>2</v>
      </c>
      <c r="B1" s="4"/>
      <c r="C1" s="4"/>
      <c r="D1" s="4"/>
      <c r="E1" s="4"/>
      <c r="F1" s="4"/>
      <c r="G1" s="4"/>
    </row>
    <row r="2" spans="1:7" x14ac:dyDescent="0.2">
      <c r="A2" s="4" t="s">
        <v>20</v>
      </c>
      <c r="B2" s="8">
        <v>1E-3</v>
      </c>
      <c r="C2" s="4"/>
      <c r="D2" s="4"/>
      <c r="E2" s="4"/>
      <c r="F2" s="4"/>
      <c r="G2" s="4"/>
    </row>
    <row r="3" spans="1:7" x14ac:dyDescent="0.2">
      <c r="A3" s="9" t="s">
        <v>23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31</v>
      </c>
    </row>
    <row r="4" spans="1:7" x14ac:dyDescent="0.2">
      <c r="A4" s="8">
        <f>-0.1+0*$B$2</f>
        <v>-0.1</v>
      </c>
      <c r="B4" s="17">
        <f>IFERROR(('Table G'!$B$14+'Table G'!$B$15)/(1+'Table G'!$B$18)*IF(ABS(((1+$A4)/(1+'Table G'!$B$18))-1)&lt;0.000000001,5,(1-((1+$A4)/(1+'Table G'!$B$18))^5)/(1-((1+$A4)/(1+'Table G'!$B$18))))+('Table G'!$B$14+'Table G'!$B$15)*(1+$A4)^(5-1)*(1+'Table G'!$B$25)/(('Table G'!$B$18-'Table G'!$B$25)*(1+'Table G'!$B$18)^5),"")</f>
        <v>48465.488158073087</v>
      </c>
      <c r="C4" s="17">
        <f>IFERROR(('Table G'!$B$14+'Table G'!$B$15)/(1+'Table G'!$B$18)*IF(ABS(((1+$A4)/(1+'Table G'!$B$18))-1)&lt;0.000000001,10,(1-((1+$A4)/(1+'Table G'!$B$18))^10)/(1-((1+$A4)/(1+'Table G'!$B$18))))+('Table G'!$B$14+'Table G'!$B$15)*(1+$A4)^(10-1)*(1+'Table G'!$B$25)/(('Table G'!$B$18-'Table G'!$B$25)*(1+'Table G'!$B$18)^10),"")</f>
        <v>35504.535291636101</v>
      </c>
      <c r="D4" s="17">
        <f>IFERROR(('Table G'!$B$14+'Table G'!$B$15)/(1+'Table G'!$B$18)*IF(ABS(((1+$A4)/(1+'Table G'!$B$18))-1)&lt;0.000000001,5,(1-((1+$A4)/(1+'Table G'!$B$18))^5)/(1-((1+$A4)/(1+'Table G'!$B$18))))+('Table G'!$B$14+'Table G'!$B$15)*(1+$A4)^(5-1)*(1+'Table G'!$B$26)/(('Table G'!$B$18-'Table G'!$B$26)*(1+'Table G'!$B$18)^5),"")</f>
        <v>51232.356165970748</v>
      </c>
      <c r="E4" s="17">
        <f>IFERROR(('Table G'!$B$14+'Table G'!$B$15)/(1+'Table G'!$B$18)*IF(ABS(((1+$A4)/(1+'Table G'!$B$18))-1)&lt;0.000000001,10,(1-((1+$A4)/(1+'Table G'!$B$18))^10)/(1-((1+$A4)/(1+'Table G'!$B$18))))+('Table G'!$B$14+'Table G'!$B$15)*(1+$A4)^(10-1)*(1+'Table G'!$B$26)/(('Table G'!$B$18-'Table G'!$B$26)*(1+'Table G'!$B$18)^10),"")</f>
        <v>36614.192005688979</v>
      </c>
      <c r="F4" s="17">
        <f>IFERROR(('Table G'!$B$14+'Table G'!$B$15)/(1+'Table G'!$B$18)*IF(ABS(((1+$A4)/(1+'Table G'!$B$18))-1)&lt;0.000000001,5,(1-((1+$A4)/(1+'Table G'!$B$18))^5)/(1-((1+$A4)/(1+'Table G'!$B$18))))+('Table G'!$B$14+'Table G'!$B$15)*(1+$A4)^(5-1)*(1+'Table G'!$B$27)/(('Table G'!$B$18-'Table G'!$B$27)*(1+'Table G'!$B$18)^5),"")</f>
        <v>54480.883397177073</v>
      </c>
      <c r="G4" s="17">
        <f>IFERROR(('Table G'!$B$14+'Table G'!$B$15)/(1+'Table G'!$B$18)*IF(ABS(((1+$A4)/(1+'Table G'!$B$18))-1)&lt;0.000000001,10,(1-((1+$A4)/(1+'Table G'!$B$18))^10)/(1-((1+$A4)/(1+'Table G'!$B$18))))+('Table G'!$B$14+'Table G'!$B$15)*(1+$A4)^(10-1)*(1+'Table G'!$B$27)/(('Table G'!$B$18-'Table G'!$B$27)*(1+'Table G'!$B$18)^10),"")</f>
        <v>37917.018899708659</v>
      </c>
    </row>
    <row r="5" spans="1:7" x14ac:dyDescent="0.2">
      <c r="A5" s="8">
        <f>-0.1+1*$B$2</f>
        <v>-9.9000000000000005E-2</v>
      </c>
      <c r="B5" s="17">
        <f>IFERROR(('Table G'!$B$14+'Table G'!$B$15)/(1+'Table G'!$B$18)*IF(ABS(((1+$A5)/(1+'Table G'!$B$18))-1)&lt;0.000000001,5,(1-((1+$A5)/(1+'Table G'!$B$18))^5)/(1-((1+$A5)/(1+'Table G'!$B$18))))+('Table G'!$B$14+'Table G'!$B$15)*(1+$A5)^(5-1)*(1+'Table G'!$B$25)/(('Table G'!$B$18-'Table G'!$B$25)*(1+'Table G'!$B$18)^5),"")</f>
        <v>48639.02266510747</v>
      </c>
      <c r="C5" s="17">
        <f>IFERROR(('Table G'!$B$14+'Table G'!$B$15)/(1+'Table G'!$B$18)*IF(ABS(((1+$A5)/(1+'Table G'!$B$18))-1)&lt;0.000000001,10,(1-((1+$A5)/(1+'Table G'!$B$18))^10)/(1-((1+$A5)/(1+'Table G'!$B$18))))+('Table G'!$B$14+'Table G'!$B$15)*(1+$A5)^(10-1)*(1+'Table G'!$B$25)/(('Table G'!$B$18-'Table G'!$B$25)*(1+'Table G'!$B$18)^10),"")</f>
        <v>35712.046265183024</v>
      </c>
      <c r="D5" s="17">
        <f>IFERROR(('Table G'!$B$14+'Table G'!$B$15)/(1+'Table G'!$B$18)*IF(ABS(((1+$A5)/(1+'Table G'!$B$18))-1)&lt;0.000000001,5,(1-((1+$A5)/(1+'Table G'!$B$18))^5)/(1-((1+$A5)/(1+'Table G'!$B$18))))+('Table G'!$B$14+'Table G'!$B$15)*(1+$A5)^(5-1)*(1+'Table G'!$B$26)/(('Table G'!$B$18-'Table G'!$B$26)*(1+'Table G'!$B$18)^5),"")</f>
        <v>51418.208374655856</v>
      </c>
      <c r="E5" s="17">
        <f>IFERROR(('Table G'!$B$14+'Table G'!$B$15)/(1+'Table G'!$B$18)*IF(ABS(((1+$A5)/(1+'Table G'!$B$18))-1)&lt;0.000000001,10,(1-((1+$A5)/(1+'Table G'!$B$18))^10)/(1-((1+$A5)/(1+'Table G'!$B$18))))+('Table G'!$B$14+'Table G'!$B$15)*(1+$A5)^(10-1)*(1+'Table G'!$B$26)/(('Table G'!$B$18-'Table G'!$B$26)*(1+'Table G'!$B$18)^10),"")</f>
        <v>36832.848992527637</v>
      </c>
      <c r="F5" s="17">
        <f>IFERROR(('Table G'!$B$14+'Table G'!$B$15)/(1+'Table G'!$B$18)*IF(ABS(((1+$A5)/(1+'Table G'!$B$18))-1)&lt;0.000000001,5,(1-((1+$A5)/(1+'Table G'!$B$18))^5)/(1-((1+$A5)/(1+'Table G'!$B$18))))+('Table G'!$B$14+'Table G'!$B$15)*(1+$A5)^(5-1)*(1+'Table G'!$B$27)/(('Table G'!$B$18-'Table G'!$B$27)*(1+'Table G'!$B$18)^5),"")</f>
        <v>54681.197585661736</v>
      </c>
      <c r="G5" s="17">
        <f>IFERROR(('Table G'!$B$14+'Table G'!$B$15)/(1+'Table G'!$B$18)*IF(ABS(((1+$A5)/(1+'Table G'!$B$18))-1)&lt;0.000000001,10,(1-((1+$A5)/(1+'Table G'!$B$18))^10)/(1-((1+$A5)/(1+'Table G'!$B$18))))+('Table G'!$B$14+'Table G'!$B$15)*(1+$A5)^(10-1)*(1+'Table G'!$B$27)/(('Table G'!$B$18-'Table G'!$B$27)*(1+'Table G'!$B$18)^10),"")</f>
        <v>38148.762209275468</v>
      </c>
    </row>
    <row r="6" spans="1:7" x14ac:dyDescent="0.2">
      <c r="A6" s="8">
        <f>-0.1+2*$B$2</f>
        <v>-9.8000000000000004E-2</v>
      </c>
      <c r="B6" s="17">
        <f>IFERROR(('Table G'!$B$14+'Table G'!$B$15)/(1+'Table G'!$B$18)*IF(ABS(((1+$A6)/(1+'Table G'!$B$18))-1)&lt;0.000000001,5,(1-((1+$A6)/(1+'Table G'!$B$18))^5)/(1-((1+$A6)/(1+'Table G'!$B$18))))+('Table G'!$B$14+'Table G'!$B$15)*(1+$A6)^(5-1)*(1+'Table G'!$B$25)/(('Table G'!$B$18-'Table G'!$B$25)*(1+'Table G'!$B$18)^5),"")</f>
        <v>48813.097117184298</v>
      </c>
      <c r="C6" s="17">
        <f>IFERROR(('Table G'!$B$14+'Table G'!$B$15)/(1+'Table G'!$B$18)*IF(ABS(((1+$A6)/(1+'Table G'!$B$18))-1)&lt;0.000000001,10,(1-((1+$A6)/(1+'Table G'!$B$18))^10)/(1-((1+$A6)/(1+'Table G'!$B$18))))+('Table G'!$B$14+'Table G'!$B$15)*(1+$A6)^(10-1)*(1+'Table G'!$B$25)/(('Table G'!$B$18-'Table G'!$B$25)*(1+'Table G'!$B$18)^10),"")</f>
        <v>35921.095099428072</v>
      </c>
      <c r="D6" s="17">
        <f>IFERROR(('Table G'!$B$14+'Table G'!$B$15)/(1+'Table G'!$B$18)*IF(ABS(((1+$A6)/(1+'Table G'!$B$18))-1)&lt;0.000000001,5,(1-((1+$A6)/(1+'Table G'!$B$18))^5)/(1-((1+$A6)/(1+'Table G'!$B$18))))+('Table G'!$B$14+'Table G'!$B$15)*(1+$A6)^(5-1)*(1+'Table G'!$B$26)/(('Table G'!$B$18-'Table G'!$B$26)*(1+'Table G'!$B$18)^5),"")</f>
        <v>51604.641610169907</v>
      </c>
      <c r="E6" s="17">
        <f>IFERROR(('Table G'!$B$14+'Table G'!$B$15)/(1+'Table G'!$B$18)*IF(ABS(((1+$A6)/(1+'Table G'!$B$18))-1)&lt;0.000000001,10,(1-((1+$A6)/(1+'Table G'!$B$18))^10)/(1-((1+$A6)/(1+'Table G'!$B$18))))+('Table G'!$B$14+'Table G'!$B$15)*(1+$A6)^(10-1)*(1+'Table G'!$B$26)/(('Table G'!$B$18-'Table G'!$B$26)*(1+'Table G'!$B$18)^10),"")</f>
        <v>37053.143246377396</v>
      </c>
      <c r="F6" s="17">
        <f>IFERROR(('Table G'!$B$14+'Table G'!$B$15)/(1+'Table G'!$B$18)*IF(ABS(((1+$A6)/(1+'Table G'!$B$18))-1)&lt;0.000000001,5,(1-((1+$A6)/(1+'Table G'!$B$18))^5)/(1-((1+$A6)/(1+'Table G'!$B$18))))+('Table G'!$B$14+'Table G'!$B$15)*(1+$A6)^(5-1)*(1+'Table G'!$B$27)/(('Table G'!$B$18-'Table G'!$B$27)*(1+'Table G'!$B$18)^5),"")</f>
        <v>54882.141034321408</v>
      </c>
      <c r="G6" s="17">
        <f>IFERROR(('Table G'!$B$14+'Table G'!$B$15)/(1+'Table G'!$B$18)*IF(ABS(((1+$A6)/(1+'Table G'!$B$18))-1)&lt;0.000000001,10,(1-((1+$A6)/(1+'Table G'!$B$18))^10)/(1-((1+$A6)/(1+'Table G'!$B$18))))+('Table G'!$B$14+'Table G'!$B$15)*(1+$A6)^(10-1)*(1+'Table G'!$B$27)/(('Table G'!$B$18-'Table G'!$B$27)*(1+'Table G'!$B$18)^10),"")</f>
        <v>38382.259496919396</v>
      </c>
    </row>
    <row r="7" spans="1:7" x14ac:dyDescent="0.2">
      <c r="A7" s="8">
        <f>-0.1+3*$B$2</f>
        <v>-9.7000000000000003E-2</v>
      </c>
      <c r="B7" s="17">
        <f>IFERROR(('Table G'!$B$14+'Table G'!$B$15)/(1+'Table G'!$B$18)*IF(ABS(((1+$A7)/(1+'Table G'!$B$18))-1)&lt;0.000000001,5,(1-((1+$A7)/(1+'Table G'!$B$18))^5)/(1-((1+$A7)/(1+'Table G'!$B$18))))+('Table G'!$B$14+'Table G'!$B$15)*(1+$A7)^(5-1)*(1+'Table G'!$B$25)/(('Table G'!$B$18-'Table G'!$B$25)*(1+'Table G'!$B$18)^5),"")</f>
        <v>48987.712675130373</v>
      </c>
      <c r="C7" s="17">
        <f>IFERROR(('Table G'!$B$14+'Table G'!$B$15)/(1+'Table G'!$B$18)*IF(ABS(((1+$A7)/(1+'Table G'!$B$18))-1)&lt;0.000000001,10,(1-((1+$A7)/(1+'Table G'!$B$18))^10)/(1-((1+$A7)/(1+'Table G'!$B$18))))+('Table G'!$B$14+'Table G'!$B$15)*(1+$A7)^(10-1)*(1+'Table G'!$B$25)/(('Table G'!$B$18-'Table G'!$B$25)*(1+'Table G'!$B$18)^10),"")</f>
        <v>36131.692804377824</v>
      </c>
      <c r="D7" s="17">
        <f>IFERROR(('Table G'!$B$14+'Table G'!$B$15)/(1+'Table G'!$B$18)*IF(ABS(((1+$A7)/(1+'Table G'!$B$18))-1)&lt;0.000000001,5,(1-((1+$A7)/(1+'Table G'!$B$18))^5)/(1-((1+$A7)/(1+'Table G'!$B$18))))+('Table G'!$B$14+'Table G'!$B$15)*(1+$A7)^(5-1)*(1+'Table G'!$B$26)/(('Table G'!$B$18-'Table G'!$B$26)*(1+'Table G'!$B$18)^5),"")</f>
        <v>51791.65712458182</v>
      </c>
      <c r="E7" s="17">
        <f>IFERROR(('Table G'!$B$14+'Table G'!$B$15)/(1+'Table G'!$B$18)*IF(ABS(((1+$A7)/(1+'Table G'!$B$18))-1)&lt;0.000000001,10,(1-((1+$A7)/(1+'Table G'!$B$18))^10)/(1-((1+$A7)/(1+'Table G'!$B$18))))+('Table G'!$B$14+'Table G'!$B$15)*(1+$A7)^(10-1)*(1+'Table G'!$B$26)/(('Table G'!$B$18-'Table G'!$B$26)*(1+'Table G'!$B$18)^10),"")</f>
        <v>37275.086552122237</v>
      </c>
      <c r="F7" s="17">
        <f>IFERROR(('Table G'!$B$14+'Table G'!$B$15)/(1+'Table G'!$B$18)*IF(ABS(((1+$A7)/(1+'Table G'!$B$18))-1)&lt;0.000000001,5,(1-((1+$A7)/(1+'Table G'!$B$18))^5)/(1-((1+$A7)/(1+'Table G'!$B$18))))+('Table G'!$B$14+'Table G'!$B$15)*(1+$A7)^(5-1)*(1+'Table G'!$B$27)/(('Table G'!$B$18-'Table G'!$B$27)*(1+'Table G'!$B$18)^5),"")</f>
        <v>55083.715102350652</v>
      </c>
      <c r="G7" s="17">
        <f>IFERROR(('Table G'!$B$14+'Table G'!$B$15)/(1+'Table G'!$B$18)*IF(ABS(((1+$A7)/(1+'Table G'!$B$18))-1)&lt;0.000000001,10,(1-((1+$A7)/(1+'Table G'!$B$18))^10)/(1-((1+$A7)/(1+'Table G'!$B$18))))+('Table G'!$B$14+'Table G'!$B$15)*(1+$A7)^(10-1)*(1+'Table G'!$B$27)/(('Table G'!$B$18-'Table G'!$B$27)*(1+'Table G'!$B$18)^10),"")</f>
        <v>38617.523457293239</v>
      </c>
    </row>
    <row r="8" spans="1:7" x14ac:dyDescent="0.2">
      <c r="A8" s="8">
        <f>-0.1+4*$B$2</f>
        <v>-9.6000000000000002E-2</v>
      </c>
      <c r="B8" s="17">
        <f>IFERROR(('Table G'!$B$14+'Table G'!$B$15)/(1+'Table G'!$B$18)*IF(ABS(((1+$A8)/(1+'Table G'!$B$18))-1)&lt;0.000000001,5,(1-((1+$A8)/(1+'Table G'!$B$18))^5)/(1-((1+$A8)/(1+'Table G'!$B$18))))+('Table G'!$B$14+'Table G'!$B$15)*(1+$A8)^(5-1)*(1+'Table G'!$B$25)/(('Table G'!$B$18-'Table G'!$B$25)*(1+'Table G'!$B$18)^5),"")</f>
        <v>49162.870501036508</v>
      </c>
      <c r="C8" s="17">
        <f>IFERROR(('Table G'!$B$14+'Table G'!$B$15)/(1+'Table G'!$B$18)*IF(ABS(((1+$A8)/(1+'Table G'!$B$18))-1)&lt;0.000000001,10,(1-((1+$A8)/(1+'Table G'!$B$18))^10)/(1-((1+$A8)/(1+'Table G'!$B$18))))+('Table G'!$B$14+'Table G'!$B$15)*(1+$A8)^(10-1)*(1+'Table G'!$B$25)/(('Table G'!$B$18-'Table G'!$B$25)*(1+'Table G'!$B$18)^10),"")</f>
        <v>36343.850460149028</v>
      </c>
      <c r="D8" s="17">
        <f>IFERROR(('Table G'!$B$14+'Table G'!$B$15)/(1+'Table G'!$B$18)*IF(ABS(((1+$A8)/(1+'Table G'!$B$18))-1)&lt;0.000000001,5,(1-((1+$A8)/(1+'Table G'!$B$18))^5)/(1-((1+$A8)/(1+'Table G'!$B$18))))+('Table G'!$B$14+'Table G'!$B$15)*(1+$A8)^(5-1)*(1+'Table G'!$B$26)/(('Table G'!$B$18-'Table G'!$B$26)*(1+'Table G'!$B$18)^5),"")</f>
        <v>51979.256171325746</v>
      </c>
      <c r="E8" s="17">
        <f>IFERROR(('Table G'!$B$14+'Table G'!$B$15)/(1+'Table G'!$B$18)*IF(ABS(((1+$A8)/(1+'Table G'!$B$18))-1)&lt;0.000000001,10,(1-((1+$A8)/(1+'Table G'!$B$18))^10)/(1-((1+$A8)/(1+'Table G'!$B$18))))+('Table G'!$B$14+'Table G'!$B$15)*(1+$A8)^(10-1)*(1+'Table G'!$B$26)/(('Table G'!$B$18-'Table G'!$B$26)*(1+'Table G'!$B$18)^10),"")</f>
        <v>37498.69076992786</v>
      </c>
      <c r="F8" s="17">
        <f>IFERROR(('Table G'!$B$14+'Table G'!$B$15)/(1+'Table G'!$B$18)*IF(ABS(((1+$A8)/(1+'Table G'!$B$18))-1)&lt;0.000000001,5,(1-((1+$A8)/(1+'Table G'!$B$18))^5)/(1-((1+$A8)/(1+'Table G'!$B$18))))+('Table G'!$B$14+'Table G'!$B$15)*(1+$A8)^(5-1)*(1+'Table G'!$B$27)/(('Table G'!$B$18-'Table G'!$B$27)*(1+'Table G'!$B$18)^5),"")</f>
        <v>55285.921150428097</v>
      </c>
      <c r="G8" s="17">
        <f>IFERROR(('Table G'!$B$14+'Table G'!$B$15)/(1+'Table G'!$B$18)*IF(ABS(((1+$A8)/(1+'Table G'!$B$18))-1)&lt;0.000000001,10,(1-((1+$A8)/(1+'Table G'!$B$18))^10)/(1-((1+$A8)/(1+'Table G'!$B$18))))+('Table G'!$B$14+'Table G'!$B$15)*(1+$A8)^(10-1)*(1+'Table G'!$B$27)/(('Table G'!$B$18-'Table G'!$B$27)*(1+'Table G'!$B$18)^10),"")</f>
        <v>38854.566866403387</v>
      </c>
    </row>
    <row r="9" spans="1:7" x14ac:dyDescent="0.2">
      <c r="A9" s="8">
        <f>-0.1+5*$B$2</f>
        <v>-9.5000000000000001E-2</v>
      </c>
      <c r="B9" s="17">
        <f>IFERROR(('Table G'!$B$14+'Table G'!$B$15)/(1+'Table G'!$B$18)*IF(ABS(((1+$A9)/(1+'Table G'!$B$18))-1)&lt;0.000000001,5,(1-((1+$A9)/(1+'Table G'!$B$18))^5)/(1-((1+$A9)/(1+'Table G'!$B$18))))+('Table G'!$B$14+'Table G'!$B$15)*(1+$A9)^(5-1)*(1+'Table G'!$B$25)/(('Table G'!$B$18-'Table G'!$B$25)*(1+'Table G'!$B$18)^5),"")</f>
        <v>49338.571758257516</v>
      </c>
      <c r="C9" s="17">
        <f>IFERROR(('Table G'!$B$14+'Table G'!$B$15)/(1+'Table G'!$B$18)*IF(ABS(((1+$A9)/(1+'Table G'!$B$18))-1)&lt;0.000000001,10,(1-((1+$A9)/(1+'Table G'!$B$18))^10)/(1-((1+$A9)/(1+'Table G'!$B$18))))+('Table G'!$B$14+'Table G'!$B$15)*(1+$A9)^(10-1)*(1+'Table G'!$B$25)/(('Table G'!$B$18-'Table G'!$B$25)*(1+'Table G'!$B$18)^10),"")</f>
        <v>36557.579217346909</v>
      </c>
      <c r="D9" s="17">
        <f>IFERROR(('Table G'!$B$14+'Table G'!$B$15)/(1+'Table G'!$B$18)*IF(ABS(((1+$A9)/(1+'Table G'!$B$18))-1)&lt;0.000000001,5,(1-((1+$A9)/(1+'Table G'!$B$18))^5)/(1-((1+$A9)/(1+'Table G'!$B$18))))+('Table G'!$B$14+'Table G'!$B$15)*(1+$A9)^(5-1)*(1+'Table G'!$B$26)/(('Table G'!$B$18-'Table G'!$B$26)*(1+'Table G'!$B$18)^5),"")</f>
        <v>52167.440005201061</v>
      </c>
      <c r="E9" s="17">
        <f>IFERROR(('Table G'!$B$14+'Table G'!$B$15)/(1+'Table G'!$B$18)*IF(ABS(((1+$A9)/(1+'Table G'!$B$18))-1)&lt;0.000000001,10,(1-((1+$A9)/(1+'Table G'!$B$18))^10)/(1-((1+$A9)/(1+'Table G'!$B$18))))+('Table G'!$B$14+'Table G'!$B$15)*(1+$A9)^(10-1)*(1+'Table G'!$B$26)/(('Table G'!$B$18-'Table G'!$B$26)*(1+'Table G'!$B$18)^10),"")</f>
        <v>37723.967835648749</v>
      </c>
      <c r="F9" s="17">
        <f>IFERROR(('Table G'!$B$14+'Table G'!$B$15)/(1+'Table G'!$B$18)*IF(ABS(((1+$A9)/(1+'Table G'!$B$18))-1)&lt;0.000000001,5,(1-((1+$A9)/(1+'Table G'!$B$18))^5)/(1-((1+$A9)/(1+'Table G'!$B$18))))+('Table G'!$B$14+'Table G'!$B$15)*(1+$A9)^(5-1)*(1+'Table G'!$B$27)/(('Table G'!$B$18-'Table G'!$B$27)*(1+'Table G'!$B$18)^5),"")</f>
        <v>55488.76054071643</v>
      </c>
      <c r="G9" s="17">
        <f>IFERROR(('Table G'!$B$14+'Table G'!$B$15)/(1+'Table G'!$B$18)*IF(ABS(((1+$A9)/(1+'Table G'!$B$18))-1)&lt;0.000000001,10,(1-((1+$A9)/(1+'Table G'!$B$18))^10)/(1-((1+$A9)/(1+'Table G'!$B$18))))+('Table G'!$B$14+'Table G'!$B$15)*(1+$A9)^(10-1)*(1+'Table G'!$B$27)/(('Table G'!$B$18-'Table G'!$B$27)*(1+'Table G'!$B$18)^10),"")</f>
        <v>39093.40258205057</v>
      </c>
    </row>
    <row r="10" spans="1:7" x14ac:dyDescent="0.2">
      <c r="A10" s="8">
        <f>-0.1+6*$B$2</f>
        <v>-9.4E-2</v>
      </c>
      <c r="B10" s="17">
        <f>IFERROR(('Table G'!$B$14+'Table G'!$B$15)/(1+'Table G'!$B$18)*IF(ABS(((1+$A10)/(1+'Table G'!$B$18))-1)&lt;0.000000001,5,(1-((1+$A10)/(1+'Table G'!$B$18))^5)/(1-((1+$A10)/(1+'Table G'!$B$18))))+('Table G'!$B$14+'Table G'!$B$15)*(1+$A10)^(5-1)*(1+'Table G'!$B$25)/(('Table G'!$B$18-'Table G'!$B$25)*(1+'Table G'!$B$18)^5),"")</f>
        <v>49514.817611412305</v>
      </c>
      <c r="C10" s="17">
        <f>IFERROR(('Table G'!$B$14+'Table G'!$B$15)/(1+'Table G'!$B$18)*IF(ABS(((1+$A10)/(1+'Table G'!$B$18))-1)&lt;0.000000001,10,(1-((1+$A10)/(1+'Table G'!$B$18))^10)/(1-((1+$A10)/(1+'Table G'!$B$18))))+('Table G'!$B$14+'Table G'!$B$15)*(1+$A10)^(10-1)*(1+'Table G'!$B$25)/(('Table G'!$B$18-'Table G'!$B$25)*(1+'Table G'!$B$18)^10),"")</f>
        <v>36772.890297445112</v>
      </c>
      <c r="D10" s="17">
        <f>IFERROR(('Table G'!$B$14+'Table G'!$B$15)/(1+'Table G'!$B$18)*IF(ABS(((1+$A10)/(1+'Table G'!$B$18))-1)&lt;0.000000001,5,(1-((1+$A10)/(1+'Table G'!$B$18))^5)/(1-((1+$A10)/(1+'Table G'!$B$18))))+('Table G'!$B$14+'Table G'!$B$15)*(1+$A10)^(5-1)*(1+'Table G'!$B$26)/(('Table G'!$B$18-'Table G'!$B$26)*(1+'Table G'!$B$18)^5),"")</f>
        <v>52356.209882372394</v>
      </c>
      <c r="E10" s="17">
        <f>IFERROR(('Table G'!$B$14+'Table G'!$B$15)/(1+'Table G'!$B$18)*IF(ABS(((1+$A10)/(1+'Table G'!$B$18))-1)&lt;0.000000001,10,(1-((1+$A10)/(1+'Table G'!$B$18))^10)/(1-((1+$A10)/(1+'Table G'!$B$18))))+('Table G'!$B$14+'Table G'!$B$15)*(1+$A10)^(10-1)*(1+'Table G'!$B$26)/(('Table G'!$B$18-'Table G'!$B$26)*(1+'Table G'!$B$18)^10),"")</f>
        <v>37950.929761236956</v>
      </c>
      <c r="F10" s="17">
        <f>IFERROR(('Table G'!$B$14+'Table G'!$B$15)/(1+'Table G'!$B$18)*IF(ABS(((1+$A10)/(1+'Table G'!$B$18))-1)&lt;0.000000001,5,(1-((1+$A10)/(1+'Table G'!$B$18))^5)/(1-((1+$A10)/(1+'Table G'!$B$18))))+('Table G'!$B$14+'Table G'!$B$15)*(1+$A10)^(5-1)*(1+'Table G'!$B$27)/(('Table G'!$B$18-'Table G'!$B$27)*(1+'Table G'!$B$18)^5),"")</f>
        <v>55692.234636862398</v>
      </c>
      <c r="G10" s="17">
        <f>IFERROR(('Table G'!$B$14+'Table G'!$B$15)/(1+'Table G'!$B$18)*IF(ABS(((1+$A10)/(1+'Table G'!$B$18))-1)&lt;0.000000001,10,(1-((1+$A10)/(1+'Table G'!$B$18))^10)/(1-((1+$A10)/(1+'Table G'!$B$18))))+('Table G'!$B$14+'Table G'!$B$15)*(1+$A10)^(10-1)*(1+'Table G'!$B$27)/(('Table G'!$B$18-'Table G'!$B$27)*(1+'Table G'!$B$18)^10),"")</f>
        <v>39334.04354427255</v>
      </c>
    </row>
    <row r="11" spans="1:7" x14ac:dyDescent="0.2">
      <c r="A11" s="8">
        <f>-0.1+7*$B$2</f>
        <v>-9.2999999999999999E-2</v>
      </c>
      <c r="B11" s="17">
        <f>IFERROR(('Table G'!$B$14+'Table G'!$B$15)/(1+'Table G'!$B$18)*IF(ABS(((1+$A11)/(1+'Table G'!$B$18))-1)&lt;0.000000001,5,(1-((1+$A11)/(1+'Table G'!$B$18))^5)/(1-((1+$A11)/(1+'Table G'!$B$18))))+('Table G'!$B$14+'Table G'!$B$15)*(1+$A11)^(5-1)*(1+'Table G'!$B$25)/(('Table G'!$B$18-'Table G'!$B$25)*(1+'Table G'!$B$18)^5),"")</f>
        <v>49691.60922638372</v>
      </c>
      <c r="C11" s="17">
        <f>IFERROR(('Table G'!$B$14+'Table G'!$B$15)/(1+'Table G'!$B$18)*IF(ABS(((1+$A11)/(1+'Table G'!$B$18))-1)&lt;0.000000001,10,(1-((1+$A11)/(1+'Table G'!$B$18))^10)/(1-((1+$A11)/(1+'Table G'!$B$18))))+('Table G'!$B$14+'Table G'!$B$15)*(1+$A11)^(10-1)*(1+'Table G'!$B$25)/(('Table G'!$B$18-'Table G'!$B$25)*(1+'Table G'!$B$18)^10),"")</f>
        <v>36989.794993167277</v>
      </c>
      <c r="D11" s="17">
        <f>IFERROR(('Table G'!$B$14+'Table G'!$B$15)/(1+'Table G'!$B$18)*IF(ABS(((1+$A11)/(1+'Table G'!$B$18))-1)&lt;0.000000001,5,(1-((1+$A11)/(1+'Table G'!$B$18))^5)/(1-((1+$A11)/(1+'Table G'!$B$18))))+('Table G'!$B$14+'Table G'!$B$15)*(1+$A11)^(5-1)*(1+'Table G'!$B$26)/(('Table G'!$B$18-'Table G'!$B$26)*(1+'Table G'!$B$18)^5),"")</f>
        <v>52545.567060369591</v>
      </c>
      <c r="E11" s="17">
        <f>IFERROR(('Table G'!$B$14+'Table G'!$B$15)/(1+'Table G'!$B$18)*IF(ABS(((1+$A11)/(1+'Table G'!$B$18))-1)&lt;0.000000001,10,(1-((1+$A11)/(1+'Table G'!$B$18))^10)/(1-((1+$A11)/(1+'Table G'!$B$18))))+('Table G'!$B$14+'Table G'!$B$15)*(1+$A11)^(10-1)*(1+'Table G'!$B$26)/(('Table G'!$B$18-'Table G'!$B$26)*(1+'Table G'!$B$18)^10),"")</f>
        <v>38179.588635152671</v>
      </c>
      <c r="F11" s="17">
        <f>IFERROR(('Table G'!$B$14+'Table G'!$B$15)/(1+'Table G'!$B$18)*IF(ABS(((1+$A11)/(1+'Table G'!$B$18))-1)&lt;0.000000001,5,(1-((1+$A11)/(1+'Table G'!$B$18))^5)/(1-((1+$A11)/(1+'Table G'!$B$18))))+('Table G'!$B$14+'Table G'!$B$15)*(1+$A11)^(5-1)*(1+'Table G'!$B$27)/(('Table G'!$B$18-'Table G'!$B$27)*(1+'Table G'!$B$18)^5),"")</f>
        <v>55896.344803996835</v>
      </c>
      <c r="G11" s="17">
        <f>IFERROR(('Table G'!$B$14+'Table G'!$B$15)/(1+'Table G'!$B$18)*IF(ABS(((1+$A11)/(1+'Table G'!$B$18))-1)&lt;0.000000001,10,(1-((1+$A11)/(1+'Table G'!$B$18))^10)/(1-((1+$A11)/(1+'Table G'!$B$18))))+('Table G'!$B$14+'Table G'!$B$15)*(1+$A11)^(10-1)*(1+'Table G'!$B$27)/(('Table G'!$B$18-'Table G'!$B$27)*(1+'Table G'!$B$18)^10),"")</f>
        <v>39576.502775788722</v>
      </c>
    </row>
    <row r="12" spans="1:7" x14ac:dyDescent="0.2">
      <c r="A12" s="8">
        <f>-0.1+8*$B$2</f>
        <v>-9.1999999999999998E-2</v>
      </c>
      <c r="B12" s="17">
        <f>IFERROR(('Table G'!$B$14+'Table G'!$B$15)/(1+'Table G'!$B$18)*IF(ABS(((1+$A12)/(1+'Table G'!$B$18))-1)&lt;0.000000001,5,(1-((1+$A12)/(1+'Table G'!$B$18))^5)/(1-((1+$A12)/(1+'Table G'!$B$18))))+('Table G'!$B$14+'Table G'!$B$15)*(1+$A12)^(5-1)*(1+'Table G'!$B$25)/(('Table G'!$B$18-'Table G'!$B$25)*(1+'Table G'!$B$18)^5),"")</f>
        <v>49868.947770318664</v>
      </c>
      <c r="C12" s="17">
        <f>IFERROR(('Table G'!$B$14+'Table G'!$B$15)/(1+'Table G'!$B$18)*IF(ABS(((1+$A12)/(1+'Table G'!$B$18))-1)&lt;0.000000001,10,(1-((1+$A12)/(1+'Table G'!$B$18))^10)/(1-((1+$A12)/(1+'Table G'!$B$18))))+('Table G'!$B$14+'Table G'!$B$15)*(1+$A12)^(10-1)*(1+'Table G'!$B$25)/(('Table G'!$B$18-'Table G'!$B$25)*(1+'Table G'!$B$18)^10),"")</f>
        <v>37208.304668870223</v>
      </c>
      <c r="D12" s="17">
        <f>IFERROR(('Table G'!$B$14+'Table G'!$B$15)/(1+'Table G'!$B$18)*IF(ABS(((1+$A12)/(1+'Table G'!$B$18))-1)&lt;0.000000001,5,(1-((1+$A12)/(1+'Table G'!$B$18))^5)/(1-((1+$A12)/(1+'Table G'!$B$18))))+('Table G'!$B$14+'Table G'!$B$15)*(1+$A12)^(5-1)*(1+'Table G'!$B$26)/(('Table G'!$B$18-'Table G'!$B$26)*(1+'Table G'!$B$18)^5),"")</f>
        <v>52735.512798087715</v>
      </c>
      <c r="E12" s="17">
        <f>IFERROR(('Table G'!$B$14+'Table G'!$B$15)/(1+'Table G'!$B$18)*IF(ABS(((1+$A12)/(1+'Table G'!$B$18))-1)&lt;0.000000001,10,(1-((1+$A12)/(1+'Table G'!$B$18))^10)/(1-((1+$A12)/(1+'Table G'!$B$18))))+('Table G'!$B$14+'Table G'!$B$15)*(1+$A12)^(10-1)*(1+'Table G'!$B$26)/(('Table G'!$B$18-'Table G'!$B$26)*(1+'Table G'!$B$18)^10),"")</f>
        <v>38409.956622776561</v>
      </c>
      <c r="F12" s="17">
        <f>IFERROR(('Table G'!$B$14+'Table G'!$B$15)/(1+'Table G'!$B$18)*IF(ABS(((1+$A12)/(1+'Table G'!$B$18))-1)&lt;0.000000001,5,(1-((1+$A12)/(1+'Table G'!$B$18))^5)/(1-((1+$A12)/(1+'Table G'!$B$18))))+('Table G'!$B$14+'Table G'!$B$15)*(1+$A12)^(5-1)*(1+'Table G'!$B$27)/(('Table G'!$B$18-'Table G'!$B$27)*(1+'Table G'!$B$18)^5),"")</f>
        <v>56101.092408734577</v>
      </c>
      <c r="G12" s="17">
        <f>IFERROR(('Table G'!$B$14+'Table G'!$B$15)/(1+'Table G'!$B$18)*IF(ABS(((1+$A12)/(1+'Table G'!$B$18))-1)&lt;0.000000001,10,(1-((1+$A12)/(1+'Table G'!$B$18))^10)/(1-((1+$A12)/(1+'Table G'!$B$18))))+('Table G'!$B$14+'Table G'!$B$15)*(1+$A12)^(10-1)*(1+'Table G'!$B$27)/(('Table G'!$B$18-'Table G'!$B$27)*(1+'Table G'!$B$18)^10),"")</f>
        <v>39820.793382446587</v>
      </c>
    </row>
    <row r="13" spans="1:7" x14ac:dyDescent="0.2">
      <c r="A13" s="8">
        <f>-0.1+9*$B$2</f>
        <v>-9.0999999999999998E-2</v>
      </c>
      <c r="B13" s="17">
        <f>IFERROR(('Table G'!$B$14+'Table G'!$B$15)/(1+'Table G'!$B$18)*IF(ABS(((1+$A13)/(1+'Table G'!$B$18))-1)&lt;0.000000001,5,(1-((1+$A13)/(1+'Table G'!$B$18))^5)/(1-((1+$A13)/(1+'Table G'!$B$18))))+('Table G'!$B$14+'Table G'!$B$15)*(1+$A13)^(5-1)*(1+'Table G'!$B$25)/(('Table G'!$B$18-'Table G'!$B$25)*(1+'Table G'!$B$18)^5),"")</f>
        <v>50046.834411628064</v>
      </c>
      <c r="C13" s="17">
        <f>IFERROR(('Table G'!$B$14+'Table G'!$B$15)/(1+'Table G'!$B$18)*IF(ABS(((1+$A13)/(1+'Table G'!$B$18))-1)&lt;0.000000001,10,(1-((1+$A13)/(1+'Table G'!$B$18))^10)/(1-((1+$A13)/(1+'Table G'!$B$18))))+('Table G'!$B$14+'Table G'!$B$15)*(1+$A13)^(10-1)*(1+'Table G'!$B$25)/(('Table G'!$B$18-'Table G'!$B$25)*(1+'Table G'!$B$18)^10),"")</f>
        <v>37428.430760928895</v>
      </c>
      <c r="D13" s="17">
        <f>IFERROR(('Table G'!$B$14+'Table G'!$B$15)/(1+'Table G'!$B$18)*IF(ABS(((1+$A13)/(1+'Table G'!$B$18))-1)&lt;0.000000001,5,(1-((1+$A13)/(1+'Table G'!$B$18))^5)/(1-((1+$A13)/(1+'Table G'!$B$18))))+('Table G'!$B$14+'Table G'!$B$15)*(1+$A13)^(5-1)*(1+'Table G'!$B$26)/(('Table G'!$B$18-'Table G'!$B$26)*(1+'Table G'!$B$18)^5),"")</f>
        <v>52926.048355787076</v>
      </c>
      <c r="E13" s="17">
        <f>IFERROR(('Table G'!$B$14+'Table G'!$B$15)/(1+'Table G'!$B$18)*IF(ABS(((1+$A13)/(1+'Table G'!$B$18))-1)&lt;0.000000001,10,(1-((1+$A13)/(1+'Table G'!$B$18))^10)/(1-((1+$A13)/(1+'Table G'!$B$18))))+('Table G'!$B$14+'Table G'!$B$15)*(1+$A13)^(10-1)*(1+'Table G'!$B$26)/(('Table G'!$B$18-'Table G'!$B$26)*(1+'Table G'!$B$18)^10),"")</f>
        <v>38642.045966823847</v>
      </c>
      <c r="F13" s="17">
        <f>IFERROR(('Table G'!$B$14+'Table G'!$B$15)/(1+'Table G'!$B$18)*IF(ABS(((1+$A13)/(1+'Table G'!$B$18))-1)&lt;0.000000001,5,(1-((1+$A13)/(1+'Table G'!$B$18))^5)/(1-((1+$A13)/(1+'Table G'!$B$18))))+('Table G'!$B$14+'Table G'!$B$15)*(1+$A13)^(5-1)*(1+'Table G'!$B$27)/(('Table G'!$B$18-'Table G'!$B$27)*(1+'Table G'!$B$18)^5),"")</f>
        <v>56306.478819174576</v>
      </c>
      <c r="G13" s="17">
        <f>IFERROR(('Table G'!$B$14+'Table G'!$B$15)/(1+'Table G'!$B$18)*IF(ABS(((1+$A13)/(1+'Table G'!$B$18))-1)&lt;0.000000001,10,(1-((1+$A13)/(1+'Table G'!$B$18))^10)/(1-((1+$A13)/(1+'Table G'!$B$18))))+('Table G'!$B$14+'Table G'!$B$15)*(1+$A13)^(10-1)*(1+'Table G'!$B$27)/(('Table G'!$B$18-'Table G'!$B$27)*(1+'Table G'!$B$18)^10),"")</f>
        <v>40066.928553670281</v>
      </c>
    </row>
    <row r="14" spans="1:7" x14ac:dyDescent="0.2">
      <c r="A14" s="8">
        <f>-0.1+10*$B$2</f>
        <v>-9.0000000000000011E-2</v>
      </c>
      <c r="B14" s="17">
        <f>IFERROR(('Table G'!$B$14+'Table G'!$B$15)/(1+'Table G'!$B$18)*IF(ABS(((1+$A14)/(1+'Table G'!$B$18))-1)&lt;0.000000001,5,(1-((1+$A14)/(1+'Table G'!$B$18))^5)/(1-((1+$A14)/(1+'Table G'!$B$18))))+('Table G'!$B$14+'Table G'!$B$15)*(1+$A14)^(5-1)*(1+'Table G'!$B$25)/(('Table G'!$B$18-'Table G'!$B$25)*(1+'Table G'!$B$18)^5),"")</f>
        <v>50225.270319986848</v>
      </c>
      <c r="C14" s="17">
        <f>IFERROR(('Table G'!$B$14+'Table G'!$B$15)/(1+'Table G'!$B$18)*IF(ABS(((1+$A14)/(1+'Table G'!$B$18))-1)&lt;0.000000001,10,(1-((1+$A14)/(1+'Table G'!$B$18))^10)/(1-((1+$A14)/(1+'Table G'!$B$18))))+('Table G'!$B$14+'Table G'!$B$15)*(1+$A14)^(10-1)*(1+'Table G'!$B$25)/(('Table G'!$B$18-'Table G'!$B$25)*(1+'Table G'!$B$18)^10),"")</f>
        <v>37650.184778122944</v>
      </c>
      <c r="D14" s="17">
        <f>IFERROR(('Table G'!$B$14+'Table G'!$B$15)/(1+'Table G'!$B$18)*IF(ABS(((1+$A14)/(1+'Table G'!$B$18))-1)&lt;0.000000001,5,(1-((1+$A14)/(1+'Table G'!$B$18))^5)/(1-((1+$A14)/(1+'Table G'!$B$18))))+('Table G'!$B$14+'Table G'!$B$15)*(1+$A14)^(5-1)*(1+'Table G'!$B$26)/(('Table G'!$B$18-'Table G'!$B$26)*(1+'Table G'!$B$18)^5),"")</f>
        <v>53117.174995093235</v>
      </c>
      <c r="E14" s="17">
        <f>IFERROR(('Table G'!$B$14+'Table G'!$B$15)/(1+'Table G'!$B$18)*IF(ABS(((1+$A14)/(1+'Table G'!$B$18))-1)&lt;0.000000001,10,(1-((1+$A14)/(1+'Table G'!$B$18))^10)/(1-((1+$A14)/(1+'Table G'!$B$18))))+('Table G'!$B$14+'Table G'!$B$15)*(1+$A14)^(10-1)*(1+'Table G'!$B$26)/(('Table G'!$B$18-'Table G'!$B$26)*(1+'Table G'!$B$18)^10),"")</f>
        <v>38875.868987760419</v>
      </c>
      <c r="F14" s="17">
        <f>IFERROR(('Table G'!$B$14+'Table G'!$B$15)/(1+'Table G'!$B$18)*IF(ABS(((1+$A14)/(1+'Table G'!$B$18))-1)&lt;0.000000001,5,(1-((1+$A14)/(1+'Table G'!$B$18))^5)/(1-((1+$A14)/(1+'Table G'!$B$18))))+('Table G'!$B$14+'Table G'!$B$15)*(1+$A14)^(5-1)*(1+'Table G'!$B$27)/(('Table G'!$B$18-'Table G'!$B$27)*(1+'Table G'!$B$18)^5),"")</f>
        <v>56512.505404899843</v>
      </c>
      <c r="G14" s="17">
        <f>IFERROR(('Table G'!$B$14+'Table G'!$B$15)/(1+'Table G'!$B$18)*IF(ABS(((1+$A14)/(1+'Table G'!$B$18))-1)&lt;0.000000001,10,(1-((1+$A14)/(1+'Table G'!$B$18))^10)/(1-((1+$A14)/(1+'Table G'!$B$18))))+('Table G'!$B$14+'Table G'!$B$15)*(1+$A14)^(10-1)*(1+'Table G'!$B$27)/(('Table G'!$B$18-'Table G'!$B$27)*(1+'Table G'!$B$18)^10),"")</f>
        <v>40314.921562911011</v>
      </c>
    </row>
    <row r="15" spans="1:7" x14ac:dyDescent="0.2">
      <c r="A15" s="8">
        <f>-0.1+11*$B$2</f>
        <v>-8.900000000000001E-2</v>
      </c>
      <c r="B15" s="17">
        <f>IFERROR(('Table G'!$B$14+'Table G'!$B$15)/(1+'Table G'!$B$18)*IF(ABS(((1+$A15)/(1+'Table G'!$B$18))-1)&lt;0.000000001,5,(1-((1+$A15)/(1+'Table G'!$B$18))^5)/(1-((1+$A15)/(1+'Table G'!$B$18))))+('Table G'!$B$14+'Table G'!$B$15)*(1+$A15)^(5-1)*(1+'Table G'!$B$25)/(('Table G'!$B$18-'Table G'!$B$25)*(1+'Table G'!$B$18)^5),"")</f>
        <v>50404.256666333997</v>
      </c>
      <c r="C15" s="17">
        <f>IFERROR(('Table G'!$B$14+'Table G'!$B$15)/(1+'Table G'!$B$18)*IF(ABS(((1+$A15)/(1+'Table G'!$B$18))-1)&lt;0.000000001,10,(1-((1+$A15)/(1+'Table G'!$B$18))^10)/(1-((1+$A15)/(1+'Table G'!$B$18))))+('Table G'!$B$14+'Table G'!$B$15)*(1+$A15)^(10-1)*(1+'Table G'!$B$25)/(('Table G'!$B$18-'Table G'!$B$25)*(1+'Table G'!$B$18)^10),"")</f>
        <v>37873.578302024936</v>
      </c>
      <c r="D15" s="17">
        <f>IFERROR(('Table G'!$B$14+'Table G'!$B$15)/(1+'Table G'!$B$18)*IF(ABS(((1+$A15)/(1+'Table G'!$B$18))-1)&lt;0.000000001,5,(1-((1+$A15)/(1+'Table G'!$B$18))^5)/(1-((1+$A15)/(1+'Table G'!$B$18))))+('Table G'!$B$14+'Table G'!$B$15)*(1+$A15)^(5-1)*(1+'Table G'!$B$26)/(('Table G'!$B$18-'Table G'!$B$26)*(1+'Table G'!$B$18)^5),"")</f>
        <v>53308.893978996944</v>
      </c>
      <c r="E15" s="17">
        <f>IFERROR(('Table G'!$B$14+'Table G'!$B$15)/(1+'Table G'!$B$18)*IF(ABS(((1+$A15)/(1+'Table G'!$B$18))-1)&lt;0.000000001,10,(1-((1+$A15)/(1+'Table G'!$B$18))^10)/(1-((1+$A15)/(1+'Table G'!$B$18))))+('Table G'!$B$14+'Table G'!$B$15)*(1+$A15)^(10-1)*(1+'Table G'!$B$26)/(('Table G'!$B$18-'Table G'!$B$26)*(1+'Table G'!$B$18)^10),"")</f>
        <v>39111.438084220383</v>
      </c>
      <c r="F15" s="17">
        <f>IFERROR(('Table G'!$B$14+'Table G'!$B$15)/(1+'Table G'!$B$18)*IF(ABS(((1+$A15)/(1+'Table G'!$B$18))-1)&lt;0.000000001,5,(1-((1+$A15)/(1+'Table G'!$B$18))^5)/(1-((1+$A15)/(1+'Table G'!$B$18))))+('Table G'!$B$14+'Table G'!$B$15)*(1+$A15)^(5-1)*(1+'Table G'!$B$27)/(('Table G'!$B$18-'Table G'!$B$27)*(1+'Table G'!$B$18)^5),"")</f>
        <v>56719.17353697744</v>
      </c>
      <c r="G15" s="17">
        <f>IFERROR(('Table G'!$B$14+'Table G'!$B$15)/(1+'Table G'!$B$18)*IF(ABS(((1+$A15)/(1+'Table G'!$B$18))-1)&lt;0.000000001,10,(1-((1+$A15)/(1+'Table G'!$B$18))^10)/(1-((1+$A15)/(1+'Table G'!$B$18))))+('Table G'!$B$14+'Table G'!$B$15)*(1+$A15)^(10-1)*(1+'Table G'!$B$27)/(('Table G'!$B$18-'Table G'!$B$27)*(1+'Table G'!$B$18)^10),"")</f>
        <v>40564.785768099406</v>
      </c>
    </row>
    <row r="16" spans="1:7" x14ac:dyDescent="0.2">
      <c r="A16" s="8">
        <f>-0.1+12*$B$2</f>
        <v>-8.8000000000000009E-2</v>
      </c>
      <c r="B16" s="17">
        <f>IFERROR(('Table G'!$B$14+'Table G'!$B$15)/(1+'Table G'!$B$18)*IF(ABS(((1+$A16)/(1+'Table G'!$B$18))-1)&lt;0.000000001,5,(1-((1+$A16)/(1+'Table G'!$B$18))^5)/(1-((1+$A16)/(1+'Table G'!$B$18))))+('Table G'!$B$14+'Table G'!$B$15)*(1+$A16)^(5-1)*(1+'Table G'!$B$25)/(('Table G'!$B$18-'Table G'!$B$25)*(1+'Table G'!$B$18)^5),"")</f>
        <v>50583.794622872461</v>
      </c>
      <c r="C16" s="17">
        <f>IFERROR(('Table G'!$B$14+'Table G'!$B$15)/(1+'Table G'!$B$18)*IF(ABS(((1+$A16)/(1+'Table G'!$B$18))-1)&lt;0.000000001,10,(1-((1+$A16)/(1+'Table G'!$B$18))^10)/(1-((1+$A16)/(1+'Table G'!$B$18))))+('Table G'!$B$14+'Table G'!$B$15)*(1+$A16)^(10-1)*(1+'Table G'!$B$25)/(('Table G'!$B$18-'Table G'!$B$25)*(1+'Table G'!$B$18)^10),"")</f>
        <v>38098.622987390212</v>
      </c>
      <c r="D16" s="17">
        <f>IFERROR(('Table G'!$B$14+'Table G'!$B$15)/(1+'Table G'!$B$18)*IF(ABS(((1+$A16)/(1+'Table G'!$B$18))-1)&lt;0.000000001,5,(1-((1+$A16)/(1+'Table G'!$B$18))^5)/(1-((1+$A16)/(1+'Table G'!$B$18))))+('Table G'!$B$14+'Table G'!$B$15)*(1+$A16)^(5-1)*(1+'Table G'!$B$26)/(('Table G'!$B$18-'Table G'!$B$26)*(1+'Table G'!$B$18)^5),"")</f>
        <v>53501.206571854229</v>
      </c>
      <c r="E16" s="17">
        <f>IFERROR(('Table G'!$B$14+'Table G'!$B$15)/(1+'Table G'!$B$18)*IF(ABS(((1+$A16)/(1+'Table G'!$B$18))-1)&lt;0.000000001,10,(1-((1+$A16)/(1+'Table G'!$B$18))^10)/(1-((1+$A16)/(1+'Table G'!$B$18))))+('Table G'!$B$14+'Table G'!$B$15)*(1+$A16)^(10-1)*(1+'Table G'!$B$26)/(('Table G'!$B$18-'Table G'!$B$26)*(1+'Table G'!$B$18)^10),"")</f>
        <v>39348.76573342568</v>
      </c>
      <c r="F16" s="17">
        <f>IFERROR(('Table G'!$B$14+'Table G'!$B$15)/(1+'Table G'!$B$18)*IF(ABS(((1+$A16)/(1+'Table G'!$B$18))-1)&lt;0.000000001,5,(1-((1+$A16)/(1+'Table G'!$B$18))^5)/(1-((1+$A16)/(1+'Table G'!$B$18))))+('Table G'!$B$14+'Table G'!$B$15)*(1+$A16)^(5-1)*(1+'Table G'!$B$27)/(('Table G'!$B$18-'Table G'!$B$27)*(1+'Table G'!$B$18)^5),"")</f>
        <v>56926.484587958461</v>
      </c>
      <c r="G16" s="17">
        <f>IFERROR(('Table G'!$B$14+'Table G'!$B$15)/(1+'Table G'!$B$18)*IF(ABS(((1+$A16)/(1+'Table G'!$B$18))-1)&lt;0.000000001,10,(1-((1+$A16)/(1+'Table G'!$B$18))^10)/(1-((1+$A16)/(1+'Table G'!$B$18))))+('Table G'!$B$14+'Table G'!$B$15)*(1+$A16)^(10-1)*(1+'Table G'!$B$27)/(('Table G'!$B$18-'Table G'!$B$27)*(1+'Table G'!$B$18)^10),"")</f>
        <v>40816.534612099807</v>
      </c>
    </row>
    <row r="17" spans="1:7" x14ac:dyDescent="0.2">
      <c r="A17" s="8">
        <f>-0.1+13*$B$2</f>
        <v>-8.7000000000000008E-2</v>
      </c>
      <c r="B17" s="17">
        <f>IFERROR(('Table G'!$B$14+'Table G'!$B$15)/(1+'Table G'!$B$18)*IF(ABS(((1+$A17)/(1+'Table G'!$B$18))-1)&lt;0.000000001,5,(1-((1+$A17)/(1+'Table G'!$B$18))^5)/(1-((1+$A17)/(1+'Table G'!$B$18))))+('Table G'!$B$14+'Table G'!$B$15)*(1+$A17)^(5-1)*(1+'Table G'!$B$25)/(('Table G'!$B$18-'Table G'!$B$25)*(1+'Table G'!$B$18)^5),"")</f>
        <v>50763.885363069247</v>
      </c>
      <c r="C17" s="17">
        <f>IFERROR(('Table G'!$B$14+'Table G'!$B$15)/(1+'Table G'!$B$18)*IF(ABS(((1+$A17)/(1+'Table G'!$B$18))-1)&lt;0.000000001,10,(1-((1+$A17)/(1+'Table G'!$B$18))^10)/(1-((1+$A17)/(1+'Table G'!$B$18))))+('Table G'!$B$14+'Table G'!$B$15)*(1+$A17)^(10-1)*(1+'Table G'!$B$25)/(('Table G'!$B$18-'Table G'!$B$25)*(1+'Table G'!$B$18)^10),"")</f>
        <v>38325.330562548668</v>
      </c>
      <c r="D17" s="17">
        <f>IFERROR(('Table G'!$B$14+'Table G'!$B$15)/(1+'Table G'!$B$18)*IF(ABS(((1+$A17)/(1+'Table G'!$B$18))-1)&lt;0.000000001,5,(1-((1+$A17)/(1+'Table G'!$B$18))^5)/(1-((1+$A17)/(1+'Table G'!$B$18))))+('Table G'!$B$14+'Table G'!$B$15)*(1+$A17)^(5-1)*(1+'Table G'!$B$26)/(('Table G'!$B$18-'Table G'!$B$26)*(1+'Table G'!$B$18)^5),"")</f>
        <v>53694.114039386288</v>
      </c>
      <c r="E17" s="17">
        <f>IFERROR(('Table G'!$B$14+'Table G'!$B$15)/(1+'Table G'!$B$18)*IF(ABS(((1+$A17)/(1+'Table G'!$B$18))-1)&lt;0.000000001,10,(1-((1+$A17)/(1+'Table G'!$B$18))^10)/(1-((1+$A17)/(1+'Table G'!$B$18))))+('Table G'!$B$14+'Table G'!$B$15)*(1+$A17)^(10-1)*(1+'Table G'!$B$26)/(('Table G'!$B$18-'Table G'!$B$26)*(1+'Table G'!$B$18)^10),"")</f>
        <v>39587.864491607557</v>
      </c>
      <c r="F17" s="17">
        <f>IFERROR(('Table G'!$B$14+'Table G'!$B$15)/(1+'Table G'!$B$18)*IF(ABS(((1+$A17)/(1+'Table G'!$B$18))-1)&lt;0.000000001,5,(1-((1+$A17)/(1+'Table G'!$B$18))^5)/(1-((1+$A17)/(1+'Table G'!$B$18))))+('Table G'!$B$14+'Table G'!$B$15)*(1+$A17)^(5-1)*(1+'Table G'!$B$27)/(('Table G'!$B$18-'Table G'!$B$27)*(1+'Table G'!$B$18)^5),"")</f>
        <v>57134.439931878107</v>
      </c>
      <c r="G17" s="17">
        <f>IFERROR(('Table G'!$B$14+'Table G'!$B$15)/(1+'Table G'!$B$18)*IF(ABS(((1+$A17)/(1+'Table G'!$B$18))-1)&lt;0.000000001,10,(1-((1+$A17)/(1+'Table G'!$B$18))^10)/(1-((1+$A17)/(1+'Table G'!$B$18))))+('Table G'!$B$14+'Table G'!$B$15)*(1+$A17)^(10-1)*(1+'Table G'!$B$27)/(('Table G'!$B$18-'Table G'!$B$27)*(1+'Table G'!$B$18)^10),"")</f>
        <v>41070.181623166733</v>
      </c>
    </row>
    <row r="18" spans="1:7" x14ac:dyDescent="0.2">
      <c r="A18" s="8">
        <f>-0.1+14*$B$2</f>
        <v>-8.6000000000000007E-2</v>
      </c>
      <c r="B18" s="17">
        <f>IFERROR(('Table G'!$B$14+'Table G'!$B$15)/(1+'Table G'!$B$18)*IF(ABS(((1+$A18)/(1+'Table G'!$B$18))-1)&lt;0.000000001,5,(1-((1+$A18)/(1+'Table G'!$B$18))^5)/(1-((1+$A18)/(1+'Table G'!$B$18))))+('Table G'!$B$14+'Table G'!$B$15)*(1+$A18)^(5-1)*(1+'Table G'!$B$25)/(('Table G'!$B$18-'Table G'!$B$25)*(1+'Table G'!$B$18)^5),"")</f>
        <v>50944.530061655372</v>
      </c>
      <c r="C18" s="17">
        <f>IFERROR(('Table G'!$B$14+'Table G'!$B$15)/(1+'Table G'!$B$18)*IF(ABS(((1+$A18)/(1+'Table G'!$B$18))-1)&lt;0.000000001,10,(1-((1+$A18)/(1+'Table G'!$B$18))^10)/(1-((1+$A18)/(1+'Table G'!$B$18))))+('Table G'!$B$14+'Table G'!$B$15)*(1+$A18)^(10-1)*(1+'Table G'!$B$25)/(('Table G'!$B$18-'Table G'!$B$25)*(1+'Table G'!$B$18)^10),"")</f>
        <v>38553.712829797827</v>
      </c>
      <c r="D18" s="17">
        <f>IFERROR(('Table G'!$B$14+'Table G'!$B$15)/(1+'Table G'!$B$18)*IF(ABS(((1+$A18)/(1+'Table G'!$B$18))-1)&lt;0.000000001,5,(1-((1+$A18)/(1+'Table G'!$B$18))^5)/(1-((1+$A18)/(1+'Table G'!$B$18))))+('Table G'!$B$14+'Table G'!$B$15)*(1+$A18)^(5-1)*(1+'Table G'!$B$26)/(('Table G'!$B$18-'Table G'!$B$26)*(1+'Table G'!$B$18)^5),"")</f>
        <v>53887.617648679603</v>
      </c>
      <c r="E18" s="17">
        <f>IFERROR(('Table G'!$B$14+'Table G'!$B$15)/(1+'Table G'!$B$18)*IF(ABS(((1+$A18)/(1+'Table G'!$B$18))-1)&lt;0.000000001,10,(1-((1+$A18)/(1+'Table G'!$B$18))^10)/(1-((1+$A18)/(1+'Table G'!$B$18))))+('Table G'!$B$14+'Table G'!$B$15)*(1+$A18)^(10-1)*(1+'Table G'!$B$26)/(('Table G'!$B$18-'Table G'!$B$26)*(1+'Table G'!$B$18)^10),"")</f>
        <v>39828.746994429566</v>
      </c>
      <c r="F18" s="17">
        <f>IFERROR(('Table G'!$B$14+'Table G'!$B$15)/(1+'Table G'!$B$18)*IF(ABS(((1+$A18)/(1+'Table G'!$B$18))-1)&lt;0.000000001,5,(1-((1+$A18)/(1+'Table G'!$B$18))^5)/(1-((1+$A18)/(1+'Table G'!$B$18))))+('Table G'!$B$14+'Table G'!$B$15)*(1+$A18)^(5-1)*(1+'Table G'!$B$27)/(('Table G'!$B$18-'Table G'!$B$27)*(1+'Table G'!$B$18)^5),"")</f>
        <v>57343.040944255612</v>
      </c>
      <c r="G18" s="17">
        <f>IFERROR(('Table G'!$B$14+'Table G'!$B$15)/(1+'Table G'!$B$18)*IF(ABS(((1+$A18)/(1+'Table G'!$B$18))-1)&lt;0.000000001,10,(1-((1+$A18)/(1+'Table G'!$B$18))^10)/(1-((1+$A18)/(1+'Table G'!$B$18))))+('Table G'!$B$14+'Table G'!$B$15)*(1+$A18)^(10-1)*(1+'Table G'!$B$27)/(('Table G'!$B$18-'Table G'!$B$27)*(1+'Table G'!$B$18)^10),"")</f>
        <v>41325.740415402979</v>
      </c>
    </row>
    <row r="19" spans="1:7" x14ac:dyDescent="0.2">
      <c r="A19" s="8">
        <f>-0.1+15*$B$2</f>
        <v>-8.5000000000000006E-2</v>
      </c>
      <c r="B19" s="17">
        <f>IFERROR(('Table G'!$B$14+'Table G'!$B$15)/(1+'Table G'!$B$18)*IF(ABS(((1+$A19)/(1+'Table G'!$B$18))-1)&lt;0.000000001,5,(1-((1+$A19)/(1+'Table G'!$B$18))^5)/(1-((1+$A19)/(1+'Table G'!$B$18))))+('Table G'!$B$14+'Table G'!$B$15)*(1+$A19)^(5-1)*(1+'Table G'!$B$25)/(('Table G'!$B$18-'Table G'!$B$25)*(1+'Table G'!$B$18)^5),"")</f>
        <v>51125.729894625882</v>
      </c>
      <c r="C19" s="17">
        <f>IFERROR(('Table G'!$B$14+'Table G'!$B$15)/(1+'Table G'!$B$18)*IF(ABS(((1+$A19)/(1+'Table G'!$B$18))-1)&lt;0.000000001,10,(1-((1+$A19)/(1+'Table G'!$B$18))^10)/(1-((1+$A19)/(1+'Table G'!$B$18))))+('Table G'!$B$14+'Table G'!$B$15)*(1+$A19)^(10-1)*(1+'Table G'!$B$25)/(('Table G'!$B$18-'Table G'!$B$25)*(1+'Table G'!$B$18)^10),"")</f>
        <v>38783.781665798007</v>
      </c>
      <c r="D19" s="17">
        <f>IFERROR(('Table G'!$B$14+'Table G'!$B$15)/(1+'Table G'!$B$18)*IF(ABS(((1+$A19)/(1+'Table G'!$B$18))-1)&lt;0.000000001,5,(1-((1+$A19)/(1+'Table G'!$B$18))^5)/(1-((1+$A19)/(1+'Table G'!$B$18))))+('Table G'!$B$14+'Table G'!$B$15)*(1+$A19)^(5-1)*(1+'Table G'!$B$26)/(('Table G'!$B$18-'Table G'!$B$26)*(1+'Table G'!$B$18)^5),"")</f>
        <v>54081.718668185902</v>
      </c>
      <c r="E19" s="17">
        <f>IFERROR(('Table G'!$B$14+'Table G'!$B$15)/(1+'Table G'!$B$18)*IF(ABS(((1+$A19)/(1+'Table G'!$B$18))-1)&lt;0.000000001,10,(1-((1+$A19)/(1+'Table G'!$B$18))^10)/(1-((1+$A19)/(1+'Table G'!$B$18))))+('Table G'!$B$14+'Table G'!$B$15)*(1+$A19)^(10-1)*(1+'Table G'!$B$26)/(('Table G'!$B$18-'Table G'!$B$26)*(1+'Table G'!$B$18)^10),"")</f>
        <v>40071.42595741275</v>
      </c>
      <c r="F19" s="17">
        <f>IFERROR(('Table G'!$B$14+'Table G'!$B$15)/(1+'Table G'!$B$18)*IF(ABS(((1+$A19)/(1+'Table G'!$B$18))-1)&lt;0.000000001,5,(1-((1+$A19)/(1+'Table G'!$B$18))^5)/(1-((1+$A19)/(1+'Table G'!$B$18))))+('Table G'!$B$14+'Table G'!$B$15)*(1+$A19)^(5-1)*(1+'Table G'!$B$27)/(('Table G'!$B$18-'Table G'!$B$27)*(1+'Table G'!$B$18)^5),"")</f>
        <v>57552.289002094301</v>
      </c>
      <c r="G19" s="17">
        <f>IFERROR(('Table G'!$B$14+'Table G'!$B$15)/(1+'Table G'!$B$18)*IF(ABS(((1+$A19)/(1+'Table G'!$B$18))-1)&lt;0.000000001,10,(1-((1+$A19)/(1+'Table G'!$B$18))^10)/(1-((1+$A19)/(1+'Table G'!$B$18))))+('Table G'!$B$14+'Table G'!$B$15)*(1+$A19)^(10-1)*(1+'Table G'!$B$27)/(('Table G'!$B$18-'Table G'!$B$27)*(1+'Table G'!$B$18)^10),"")</f>
        <v>41583.224689220042</v>
      </c>
    </row>
    <row r="20" spans="1:7" x14ac:dyDescent="0.2">
      <c r="A20" s="8">
        <f>-0.1+16*$B$2</f>
        <v>-8.4000000000000005E-2</v>
      </c>
      <c r="B20" s="17">
        <f>IFERROR(('Table G'!$B$14+'Table G'!$B$15)/(1+'Table G'!$B$18)*IF(ABS(((1+$A20)/(1+'Table G'!$B$18))-1)&lt;0.000000001,5,(1-((1+$A20)/(1+'Table G'!$B$18))^5)/(1-((1+$A20)/(1+'Table G'!$B$18))))+('Table G'!$B$14+'Table G'!$B$15)*(1+$A20)^(5-1)*(1+'Table G'!$B$25)/(('Table G'!$B$18-'Table G'!$B$25)*(1+'Table G'!$B$18)^5),"")</f>
        <v>51307.486039239826</v>
      </c>
      <c r="C20" s="17">
        <f>IFERROR(('Table G'!$B$14+'Table G'!$B$15)/(1+'Table G'!$B$18)*IF(ABS(((1+$A20)/(1+'Table G'!$B$18))-1)&lt;0.000000001,10,(1-((1+$A20)/(1+'Table G'!$B$18))^10)/(1-((1+$A20)/(1+'Table G'!$B$18))))+('Table G'!$B$14+'Table G'!$B$15)*(1+$A20)^(10-1)*(1+'Table G'!$B$25)/(('Table G'!$B$18-'Table G'!$B$25)*(1+'Table G'!$B$18)^10),"")</f>
        <v>39015.549021968924</v>
      </c>
      <c r="D20" s="17">
        <f>IFERROR(('Table G'!$B$14+'Table G'!$B$15)/(1+'Table G'!$B$18)*IF(ABS(((1+$A20)/(1+'Table G'!$B$18))-1)&lt;0.000000001,5,(1-((1+$A20)/(1+'Table G'!$B$18))^5)/(1-((1+$A20)/(1+'Table G'!$B$18))))+('Table G'!$B$14+'Table G'!$B$15)*(1+$A20)^(5-1)*(1+'Table G'!$B$26)/(('Table G'!$B$18-'Table G'!$B$26)*(1+'Table G'!$B$18)^5),"")</f>
        <v>54276.418367722072</v>
      </c>
      <c r="E20" s="17">
        <f>IFERROR(('Table G'!$B$14+'Table G'!$B$15)/(1+'Table G'!$B$18)*IF(ABS(((1+$A20)/(1+'Table G'!$B$18))-1)&lt;0.000000001,10,(1-((1+$A20)/(1+'Table G'!$B$18))^10)/(1-((1+$A20)/(1+'Table G'!$B$18))))+('Table G'!$B$14+'Table G'!$B$15)*(1+$A20)^(10-1)*(1+'Table G'!$B$26)/(('Table G'!$B$18-'Table G'!$B$26)*(1+'Table G'!$B$18)^10),"")</f>
        <v>40315.914176362377</v>
      </c>
      <c r="F20" s="17">
        <f>IFERROR(('Table G'!$B$14+'Table G'!$B$15)/(1+'Table G'!$B$18)*IF(ABS(((1+$A20)/(1+'Table G'!$B$18))-1)&lt;0.000000001,5,(1-((1+$A20)/(1+'Table G'!$B$18))^5)/(1-((1+$A20)/(1+'Table G'!$B$18))))+('Table G'!$B$14+'Table G'!$B$15)*(1+$A20)^(5-1)*(1+'Table G'!$B$27)/(('Table G'!$B$18-'Table G'!$B$27)*(1+'Table G'!$B$18)^5),"")</f>
        <v>57762.185483881534</v>
      </c>
      <c r="G20" s="17">
        <f>IFERROR(('Table G'!$B$14+'Table G'!$B$15)/(1+'Table G'!$B$18)*IF(ABS(((1+$A20)/(1+'Table G'!$B$18))-1)&lt;0.000000001,10,(1-((1+$A20)/(1+'Table G'!$B$18))^10)/(1-((1+$A20)/(1+'Table G'!$B$18))))+('Table G'!$B$14+'Table G'!$B$15)*(1+$A20)^(10-1)*(1+'Table G'!$B$27)/(('Table G'!$B$18-'Table G'!$B$27)*(1+'Table G'!$B$18)^10),"")</f>
        <v>41842.648231800267</v>
      </c>
    </row>
    <row r="21" spans="1:7" x14ac:dyDescent="0.2">
      <c r="A21" s="8">
        <f>-0.1+17*$B$2</f>
        <v>-8.3000000000000004E-2</v>
      </c>
      <c r="B21" s="17">
        <f>IFERROR(('Table G'!$B$14+'Table G'!$B$15)/(1+'Table G'!$B$18)*IF(ABS(((1+$A21)/(1+'Table G'!$B$18))-1)&lt;0.000000001,5,(1-((1+$A21)/(1+'Table G'!$B$18))^5)/(1-((1+$A21)/(1+'Table G'!$B$18))))+('Table G'!$B$14+'Table G'!$B$15)*(1+$A21)^(5-1)*(1+'Table G'!$B$25)/(('Table G'!$B$18-'Table G'!$B$25)*(1+'Table G'!$B$18)^5),"")</f>
        <v>51489.799674020309</v>
      </c>
      <c r="C21" s="17">
        <f>IFERROR(('Table G'!$B$14+'Table G'!$B$15)/(1+'Table G'!$B$18)*IF(ABS(((1+$A21)/(1+'Table G'!$B$18))-1)&lt;0.000000001,10,(1-((1+$A21)/(1+'Table G'!$B$18))^10)/(1-((1+$A21)/(1+'Table G'!$B$18))))+('Table G'!$B$14+'Table G'!$B$15)*(1+$A21)^(10-1)*(1+'Table G'!$B$25)/(('Table G'!$B$18-'Table G'!$B$25)*(1+'Table G'!$B$18)^10),"")</f>
        <v>39249.026924888094</v>
      </c>
      <c r="D21" s="17">
        <f>IFERROR(('Table G'!$B$14+'Table G'!$B$15)/(1+'Table G'!$B$18)*IF(ABS(((1+$A21)/(1+'Table G'!$B$18))-1)&lt;0.000000001,5,(1-((1+$A21)/(1+'Table G'!$B$18))^5)/(1-((1+$A21)/(1+'Table G'!$B$18))))+('Table G'!$B$14+'Table G'!$B$15)*(1+$A21)^(5-1)*(1+'Table G'!$B$26)/(('Table G'!$B$18-'Table G'!$B$26)*(1+'Table G'!$B$18)^5),"")</f>
        <v>54471.718018470296</v>
      </c>
      <c r="E21" s="17">
        <f>IFERROR(('Table G'!$B$14+'Table G'!$B$15)/(1+'Table G'!$B$18)*IF(ABS(((1+$A21)/(1+'Table G'!$B$18))-1)&lt;0.000000001,10,(1-((1+$A21)/(1+'Table G'!$B$18))^10)/(1-((1+$A21)/(1+'Table G'!$B$18))))+('Table G'!$B$14+'Table G'!$B$15)*(1+$A21)^(10-1)*(1+'Table G'!$B$26)/(('Table G'!$B$18-'Table G'!$B$26)*(1+'Table G'!$B$18)^10),"")</f>
        <v>40562.224527796701</v>
      </c>
      <c r="F21" s="17">
        <f>IFERROR(('Table G'!$B$14+'Table G'!$B$15)/(1+'Table G'!$B$18)*IF(ABS(((1+$A21)/(1+'Table G'!$B$18))-1)&lt;0.000000001,5,(1-((1+$A21)/(1+'Table G'!$B$18))^5)/(1-((1+$A21)/(1+'Table G'!$B$18))))+('Table G'!$B$14+'Table G'!$B$15)*(1+$A21)^(5-1)*(1+'Table G'!$B$27)/(('Table G'!$B$18-'Table G'!$B$27)*(1+'Table G'!$B$18)^5),"")</f>
        <v>57972.731769588761</v>
      </c>
      <c r="G21" s="17">
        <f>IFERROR(('Table G'!$B$14+'Table G'!$B$15)/(1+'Table G'!$B$18)*IF(ABS(((1+$A21)/(1+'Table G'!$B$18))-1)&lt;0.000000001,10,(1-((1+$A21)/(1+'Table G'!$B$18))^10)/(1-((1+$A21)/(1+'Table G'!$B$18))))+('Table G'!$B$14+'Table G'!$B$15)*(1+$A21)^(10-1)*(1+'Table G'!$B$27)/(('Table G'!$B$18-'Table G'!$B$27)*(1+'Table G'!$B$18)^10),"")</f>
        <v>42104.024917561183</v>
      </c>
    </row>
    <row r="22" spans="1:7" x14ac:dyDescent="0.2">
      <c r="A22" s="8">
        <f>-0.1+18*$B$2</f>
        <v>-8.2000000000000003E-2</v>
      </c>
      <c r="B22" s="17">
        <f>IFERROR(('Table G'!$B$14+'Table G'!$B$15)/(1+'Table G'!$B$18)*IF(ABS(((1+$A22)/(1+'Table G'!$B$18))-1)&lt;0.000000001,5,(1-((1+$A22)/(1+'Table G'!$B$18))^5)/(1-((1+$A22)/(1+'Table G'!$B$18))))+('Table G'!$B$14+'Table G'!$B$15)*(1+$A22)^(5-1)*(1+'Table G'!$B$25)/(('Table G'!$B$18-'Table G'!$B$25)*(1+'Table G'!$B$18)^5),"")</f>
        <v>51672.671978754384</v>
      </c>
      <c r="C22" s="17">
        <f>IFERROR(('Table G'!$B$14+'Table G'!$B$15)/(1+'Table G'!$B$18)*IF(ABS(((1+$A22)/(1+'Table G'!$B$18))-1)&lt;0.000000001,10,(1-((1+$A22)/(1+'Table G'!$B$18))^10)/(1-((1+$A22)/(1+'Table G'!$B$18))))+('Table G'!$B$14+'Table G'!$B$15)*(1+$A22)^(10-1)*(1+'Table G'!$B$25)/(('Table G'!$B$18-'Table G'!$B$25)*(1+'Table G'!$B$18)^10),"")</f>
        <v>39484.22747669094</v>
      </c>
      <c r="D22" s="17">
        <f>IFERROR(('Table G'!$B$14+'Table G'!$B$15)/(1+'Table G'!$B$18)*IF(ABS(((1+$A22)/(1+'Table G'!$B$18))-1)&lt;0.000000001,5,(1-((1+$A22)/(1+'Table G'!$B$18))^5)/(1-((1+$A22)/(1+'Table G'!$B$18))))+('Table G'!$B$14+'Table G'!$B$15)*(1+$A22)^(5-1)*(1+'Table G'!$B$26)/(('Table G'!$B$18-'Table G'!$B$26)*(1+'Table G'!$B$18)^5),"")</f>
        <v>54667.618892977946</v>
      </c>
      <c r="E22" s="17">
        <f>IFERROR(('Table G'!$B$14+'Table G'!$B$15)/(1+'Table G'!$B$18)*IF(ABS(((1+$A22)/(1+'Table G'!$B$18))-1)&lt;0.000000001,10,(1-((1+$A22)/(1+'Table G'!$B$18))^10)/(1-((1+$A22)/(1+'Table G'!$B$18))))+('Table G'!$B$14+'Table G'!$B$15)*(1+$A22)^(10-1)*(1+'Table G'!$B$26)/(('Table G'!$B$18-'Table G'!$B$26)*(1+'Table G'!$B$18)^10),"")</f>
        <v>40810.369969377389</v>
      </c>
      <c r="F22" s="17">
        <f>IFERROR(('Table G'!$B$14+'Table G'!$B$15)/(1+'Table G'!$B$18)*IF(ABS(((1+$A22)/(1+'Table G'!$B$18))-1)&lt;0.000000001,5,(1-((1+$A22)/(1+'Table G'!$B$18))^5)/(1-((1+$A22)/(1+'Table G'!$B$18))))+('Table G'!$B$14+'Table G'!$B$15)*(1+$A22)^(5-1)*(1+'Table G'!$B$27)/(('Table G'!$B$18-'Table G'!$B$27)*(1+'Table G'!$B$18)^5),"")</f>
        <v>58183.929240671423</v>
      </c>
      <c r="G22" s="17">
        <f>IFERROR(('Table G'!$B$14+'Table G'!$B$15)/(1+'Table G'!$B$18)*IF(ABS(((1+$A22)/(1+'Table G'!$B$18))-1)&lt;0.000000001,10,(1-((1+$A22)/(1+'Table G'!$B$18))^10)/(1-((1+$A22)/(1+'Table G'!$B$18))))+('Table G'!$B$14+'Table G'!$B$15)*(1+$A22)^(10-1)*(1+'Table G'!$B$27)/(('Table G'!$B$18-'Table G'!$B$27)*(1+'Table G'!$B$18)^10),"")</f>
        <v>42367.368708621594</v>
      </c>
    </row>
    <row r="23" spans="1:7" x14ac:dyDescent="0.2">
      <c r="A23" s="8">
        <f>-0.1+19*$B$2</f>
        <v>-8.1000000000000003E-2</v>
      </c>
      <c r="B23" s="17">
        <f>IFERROR(('Table G'!$B$14+'Table G'!$B$15)/(1+'Table G'!$B$18)*IF(ABS(((1+$A23)/(1+'Table G'!$B$18))-1)&lt;0.000000001,5,(1-((1+$A23)/(1+'Table G'!$B$18))^5)/(1-((1+$A23)/(1+'Table G'!$B$18))))+('Table G'!$B$14+'Table G'!$B$15)*(1+$A23)^(5-1)*(1+'Table G'!$B$25)/(('Table G'!$B$18-'Table G'!$B$25)*(1+'Table G'!$B$18)^5),"")</f>
        <v>51856.104134493202</v>
      </c>
      <c r="C23" s="17">
        <f>IFERROR(('Table G'!$B$14+'Table G'!$B$15)/(1+'Table G'!$B$18)*IF(ABS(((1+$A23)/(1+'Table G'!$B$18))-1)&lt;0.000000001,10,(1-((1+$A23)/(1+'Table G'!$B$18))^10)/(1-((1+$A23)/(1+'Table G'!$B$18))))+('Table G'!$B$14+'Table G'!$B$15)*(1+$A23)^(10-1)*(1+'Table G'!$B$25)/(('Table G'!$B$18-'Table G'!$B$25)*(1+'Table G'!$B$18)^10),"")</f>
        <v>39721.162855472692</v>
      </c>
      <c r="D23" s="17">
        <f>IFERROR(('Table G'!$B$14+'Table G'!$B$15)/(1+'Table G'!$B$18)*IF(ABS(((1+$A23)/(1+'Table G'!$B$18))-1)&lt;0.000000001,5,(1-((1+$A23)/(1+'Table G'!$B$18))^5)/(1-((1+$A23)/(1+'Table G'!$B$18))))+('Table G'!$B$14+'Table G'!$B$15)*(1+$A23)^(5-1)*(1+'Table G'!$B$26)/(('Table G'!$B$18-'Table G'!$B$26)*(1+'Table G'!$B$18)^5),"")</f>
        <v>54864.122265157668</v>
      </c>
      <c r="E23" s="17">
        <f>IFERROR(('Table G'!$B$14+'Table G'!$B$15)/(1+'Table G'!$B$18)*IF(ABS(((1+$A23)/(1+'Table G'!$B$18))-1)&lt;0.000000001,10,(1-((1+$A23)/(1+'Table G'!$B$18))^10)/(1-((1+$A23)/(1+'Table G'!$B$18))))+('Table G'!$B$14+'Table G'!$B$15)*(1+$A23)^(10-1)*(1+'Table G'!$B$26)/(('Table G'!$B$18-'Table G'!$B$26)*(1+'Table G'!$B$18)^10),"")</f>
        <v>41060.363540342092</v>
      </c>
      <c r="F23" s="17">
        <f>IFERROR(('Table G'!$B$14+'Table G'!$B$15)/(1+'Table G'!$B$18)*IF(ABS(((1+$A23)/(1+'Table G'!$B$18))-1)&lt;0.000000001,5,(1-((1+$A23)/(1+'Table G'!$B$18))^5)/(1-((1+$A23)/(1+'Table G'!$B$18))))+('Table G'!$B$14+'Table G'!$B$15)*(1+$A23)^(5-1)*(1+'Table G'!$B$27)/(('Table G'!$B$18-'Table G'!$B$27)*(1+'Table G'!$B$18)^5),"")</f>
        <v>58395.779280069131</v>
      </c>
      <c r="G23" s="17">
        <f>IFERROR(('Table G'!$B$14+'Table G'!$B$15)/(1+'Table G'!$B$18)*IF(ABS(((1+$A23)/(1+'Table G'!$B$18))-1)&lt;0.000000001,10,(1-((1+$A23)/(1+'Table G'!$B$18))^10)/(1-((1+$A23)/(1+'Table G'!$B$18))))+('Table G'!$B$14+'Table G'!$B$15)*(1+$A23)^(10-1)*(1+'Table G'!$B$27)/(('Table G'!$B$18-'Table G'!$B$27)*(1+'Table G'!$B$18)^10),"")</f>
        <v>42632.693655270115</v>
      </c>
    </row>
    <row r="24" spans="1:7" x14ac:dyDescent="0.2">
      <c r="A24" s="8">
        <f>-0.1+20*$B$2</f>
        <v>-0.08</v>
      </c>
      <c r="B24" s="17">
        <f>IFERROR(('Table G'!$B$14+'Table G'!$B$15)/(1+'Table G'!$B$18)*IF(ABS(((1+$A24)/(1+'Table G'!$B$18))-1)&lt;0.000000001,5,(1-((1+$A24)/(1+'Table G'!$B$18))^5)/(1-((1+$A24)/(1+'Table G'!$B$18))))+('Table G'!$B$14+'Table G'!$B$15)*(1+$A24)^(5-1)*(1+'Table G'!$B$25)/(('Table G'!$B$18-'Table G'!$B$25)*(1+'Table G'!$B$18)^5),"")</f>
        <v>52040.09732355189</v>
      </c>
      <c r="C24" s="17">
        <f>IFERROR(('Table G'!$B$14+'Table G'!$B$15)/(1+'Table G'!$B$18)*IF(ABS(((1+$A24)/(1+'Table G'!$B$18))-1)&lt;0.000000001,10,(1-((1+$A24)/(1+'Table G'!$B$18))^10)/(1-((1+$A24)/(1+'Table G'!$B$18))))+('Table G'!$B$14+'Table G'!$B$15)*(1+$A24)^(10-1)*(1+'Table G'!$B$25)/(('Table G'!$B$18-'Table G'!$B$25)*(1+'Table G'!$B$18)^10),"")</f>
        <v>39959.845315691819</v>
      </c>
      <c r="D24" s="17">
        <f>IFERROR(('Table G'!$B$14+'Table G'!$B$15)/(1+'Table G'!$B$18)*IF(ABS(((1+$A24)/(1+'Table G'!$B$18))-1)&lt;0.000000001,5,(1-((1+$A24)/(1+'Table G'!$B$18))^5)/(1-((1+$A24)/(1+'Table G'!$B$18))))+('Table G'!$B$14+'Table G'!$B$15)*(1+$A24)^(5-1)*(1+'Table G'!$B$26)/(('Table G'!$B$18-'Table G'!$B$26)*(1+'Table G'!$B$18)^5),"")</f>
        <v>55061.229410287306</v>
      </c>
      <c r="E24" s="17">
        <f>IFERROR(('Table G'!$B$14+'Table G'!$B$15)/(1+'Table G'!$B$18)*IF(ABS(((1+$A24)/(1+'Table G'!$B$18))-1)&lt;0.000000001,10,(1-((1+$A24)/(1+'Table G'!$B$18))^10)/(1-((1+$A24)/(1+'Table G'!$B$18))))+('Table G'!$B$14+'Table G'!$B$15)*(1+$A24)^(10-1)*(1+'Table G'!$B$26)/(('Table G'!$B$18-'Table G'!$B$26)*(1+'Table G'!$B$18)^10),"")</f>
        <v>41312.218361938445</v>
      </c>
      <c r="F24" s="17">
        <f>IFERROR(('Table G'!$B$14+'Table G'!$B$15)/(1+'Table G'!$B$18)*IF(ABS(((1+$A24)/(1+'Table G'!$B$18))-1)&lt;0.000000001,5,(1-((1+$A24)/(1+'Table G'!$B$18))^5)/(1-((1+$A24)/(1+'Table G'!$B$18))))+('Table G'!$B$14+'Table G'!$B$15)*(1+$A24)^(5-1)*(1+'Table G'!$B$27)/(('Table G'!$B$18-'Table G'!$B$27)*(1+'Table G'!$B$18)^5),"")</f>
        <v>58608.283272205459</v>
      </c>
      <c r="G24" s="17">
        <f>IFERROR(('Table G'!$B$14+'Table G'!$B$15)/(1+'Table G'!$B$18)*IF(ABS(((1+$A24)/(1+'Table G'!$B$18))-1)&lt;0.000000001,10,(1-((1+$A24)/(1+'Table G'!$B$18))^10)/(1-((1+$A24)/(1+'Table G'!$B$18))))+('Table G'!$B$14+'Table G'!$B$15)*(1+$A24)^(10-1)*(1+'Table G'!$B$27)/(('Table G'!$B$18-'Table G'!$B$27)*(1+'Table G'!$B$18)^10),"")</f>
        <v>42900.013896435135</v>
      </c>
    </row>
    <row r="25" spans="1:7" x14ac:dyDescent="0.2">
      <c r="A25" s="8">
        <f>-0.1+21*$B$2</f>
        <v>-7.9000000000000001E-2</v>
      </c>
      <c r="B25" s="17">
        <f>IFERROR(('Table G'!$B$14+'Table G'!$B$15)/(1+'Table G'!$B$18)*IF(ABS(((1+$A25)/(1+'Table G'!$B$18))-1)&lt;0.000000001,5,(1-((1+$A25)/(1+'Table G'!$B$18))^5)/(1-((1+$A25)/(1+'Table G'!$B$18))))+('Table G'!$B$14+'Table G'!$B$15)*(1+$A25)^(5-1)*(1+'Table G'!$B$25)/(('Table G'!$B$18-'Table G'!$B$25)*(1+'Table G'!$B$18)^5),"")</f>
        <v>52224.652729509602</v>
      </c>
      <c r="C25" s="17">
        <f>IFERROR(('Table G'!$B$14+'Table G'!$B$15)/(1+'Table G'!$B$18)*IF(ABS(((1+$A25)/(1+'Table G'!$B$18))-1)&lt;0.000000001,10,(1-((1+$A25)/(1+'Table G'!$B$18))^10)/(1-((1+$A25)/(1+'Table G'!$B$18))))+('Table G'!$B$14+'Table G'!$B$15)*(1+$A25)^(10-1)*(1+'Table G'!$B$25)/(('Table G'!$B$18-'Table G'!$B$25)*(1+'Table G'!$B$18)^10),"")</f>
        <v>40200.287188575356</v>
      </c>
      <c r="D25" s="17">
        <f>IFERROR(('Table G'!$B$14+'Table G'!$B$15)/(1+'Table G'!$B$18)*IF(ABS(((1+$A25)/(1+'Table G'!$B$18))-1)&lt;0.000000001,5,(1-((1+$A25)/(1+'Table G'!$B$18))^5)/(1-((1+$A25)/(1+'Table G'!$B$18))))+('Table G'!$B$14+'Table G'!$B$15)*(1+$A25)^(5-1)*(1+'Table G'!$B$26)/(('Table G'!$B$18-'Table G'!$B$26)*(1+'Table G'!$B$18)^5),"")</f>
        <v>55258.941605009946</v>
      </c>
      <c r="E25" s="17">
        <f>IFERROR(('Table G'!$B$14+'Table G'!$B$15)/(1+'Table G'!$B$18)*IF(ABS(((1+$A25)/(1+'Table G'!$B$18))-1)&lt;0.000000001,10,(1-((1+$A25)/(1+'Table G'!$B$18))^10)/(1-((1+$A25)/(1+'Table G'!$B$18))))+('Table G'!$B$14+'Table G'!$B$15)*(1+$A25)^(10-1)*(1+'Table G'!$B$26)/(('Table G'!$B$18-'Table G'!$B$26)*(1+'Table G'!$B$18)^10),"")</f>
        <v>41565.947637860343</v>
      </c>
      <c r="F25" s="17">
        <f>IFERROR(('Table G'!$B$14+'Table G'!$B$15)/(1+'Table G'!$B$18)*IF(ABS(((1+$A25)/(1+'Table G'!$B$18))-1)&lt;0.000000001,5,(1-((1+$A25)/(1+'Table G'!$B$18))^5)/(1-((1+$A25)/(1+'Table G'!$B$18))))+('Table G'!$B$14+'Table G'!$B$15)*(1+$A25)^(5-1)*(1+'Table G'!$B$27)/(('Table G'!$B$18-'Table G'!$B$27)*(1+'Table G'!$B$18)^5),"")</f>
        <v>58821.442602988107</v>
      </c>
      <c r="G25" s="17">
        <f>IFERROR(('Table G'!$B$14+'Table G'!$B$15)/(1+'Table G'!$B$18)*IF(ABS(((1+$A25)/(1+'Table G'!$B$18))-1)&lt;0.000000001,10,(1-((1+$A25)/(1+'Table G'!$B$18))^10)/(1-((1+$A25)/(1+'Table G'!$B$18))))+('Table G'!$B$14+'Table G'!$B$15)*(1+$A25)^(10-1)*(1+'Table G'!$B$27)/(('Table G'!$B$18-'Table G'!$B$27)*(1+'Table G'!$B$18)^10),"")</f>
        <v>43169.34366015729</v>
      </c>
    </row>
    <row r="26" spans="1:7" x14ac:dyDescent="0.2">
      <c r="A26" s="8">
        <f>-0.1+22*$B$2</f>
        <v>-7.8000000000000014E-2</v>
      </c>
      <c r="B26" s="17">
        <f>IFERROR(('Table G'!$B$14+'Table G'!$B$15)/(1+'Table G'!$B$18)*IF(ABS(((1+$A26)/(1+'Table G'!$B$18))-1)&lt;0.000000001,5,(1-((1+$A26)/(1+'Table G'!$B$18))^5)/(1-((1+$A26)/(1+'Table G'!$B$18))))+('Table G'!$B$14+'Table G'!$B$15)*(1+$A26)^(5-1)*(1+'Table G'!$B$25)/(('Table G'!$B$18-'Table G'!$B$25)*(1+'Table G'!$B$18)^5),"")</f>
        <v>52409.771537209497</v>
      </c>
      <c r="C26" s="17">
        <f>IFERROR(('Table G'!$B$14+'Table G'!$B$15)/(1+'Table G'!$B$18)*IF(ABS(((1+$A26)/(1+'Table G'!$B$18))-1)&lt;0.000000001,10,(1-((1+$A26)/(1+'Table G'!$B$18))^10)/(1-((1+$A26)/(1+'Table G'!$B$18))))+('Table G'!$B$14+'Table G'!$B$15)*(1+$A26)^(10-1)*(1+'Table G'!$B$25)/(('Table G'!$B$18-'Table G'!$B$25)*(1+'Table G'!$B$18)^10),"")</f>
        <v>40442.500882525957</v>
      </c>
      <c r="D26" s="17">
        <f>IFERROR(('Table G'!$B$14+'Table G'!$B$15)/(1+'Table G'!$B$18)*IF(ABS(((1+$A26)/(1+'Table G'!$B$18))-1)&lt;0.000000001,5,(1-((1+$A26)/(1+'Table G'!$B$18))^5)/(1-((1+$A26)/(1+'Table G'!$B$18))))+('Table G'!$B$14+'Table G'!$B$15)*(1+$A26)^(5-1)*(1+'Table G'!$B$26)/(('Table G'!$B$18-'Table G'!$B$26)*(1+'Table G'!$B$18)^5),"")</f>
        <v>55457.260127333881</v>
      </c>
      <c r="E26" s="17">
        <f>IFERROR(('Table G'!$B$14+'Table G'!$B$15)/(1+'Table G'!$B$18)*IF(ABS(((1+$A26)/(1+'Table G'!$B$18))-1)&lt;0.000000001,10,(1-((1+$A26)/(1+'Table G'!$B$18))^10)/(1-((1+$A26)/(1+'Table G'!$B$18))))+('Table G'!$B$14+'Table G'!$B$15)*(1+$A26)^(10-1)*(1+'Table G'!$B$26)/(('Table G'!$B$18-'Table G'!$B$26)*(1+'Table G'!$B$18)^10),"")</f>
        <v>41821.564654685848</v>
      </c>
      <c r="F26" s="17">
        <f>IFERROR(('Table G'!$B$14+'Table G'!$B$15)/(1+'Table G'!$B$18)*IF(ABS(((1+$A26)/(1+'Table G'!$B$18))-1)&lt;0.000000001,5,(1-((1+$A26)/(1+'Table G'!$B$18))^5)/(1-((1+$A26)/(1+'Table G'!$B$18))))+('Table G'!$B$14+'Table G'!$B$15)*(1+$A26)^(5-1)*(1+'Table G'!$B$27)/(('Table G'!$B$18-'Table G'!$B$27)*(1+'Table G'!$B$18)^5),"")</f>
        <v>59035.258659808795</v>
      </c>
      <c r="G26" s="17">
        <f>IFERROR(('Table G'!$B$14+'Table G'!$B$15)/(1+'Table G'!$B$18)*IF(ABS(((1+$A26)/(1+'Table G'!$B$18))-1)&lt;0.000000001,10,(1-((1+$A26)/(1+'Table G'!$B$18))^10)/(1-((1+$A26)/(1+'Table G'!$B$18))))+('Table G'!$B$14+'Table G'!$B$15)*(1+$A26)^(10-1)*(1+'Table G'!$B$27)/(('Table G'!$B$18-'Table G'!$B$27)*(1+'Table G'!$B$18)^10),"")</f>
        <v>43440.697264063725</v>
      </c>
    </row>
    <row r="27" spans="1:7" x14ac:dyDescent="0.2">
      <c r="A27" s="8">
        <f>-0.1+23*$B$2</f>
        <v>-7.7000000000000013E-2</v>
      </c>
      <c r="B27" s="17">
        <f>IFERROR(('Table G'!$B$14+'Table G'!$B$15)/(1+'Table G'!$B$18)*IF(ABS(((1+$A27)/(1+'Table G'!$B$18))-1)&lt;0.000000001,5,(1-((1+$A27)/(1+'Table G'!$B$18))^5)/(1-((1+$A27)/(1+'Table G'!$B$18))))+('Table G'!$B$14+'Table G'!$B$15)*(1+$A27)^(5-1)*(1+'Table G'!$B$25)/(('Table G'!$B$18-'Table G'!$B$25)*(1+'Table G'!$B$18)^5),"")</f>
        <v>52595.454932758847</v>
      </c>
      <c r="C27" s="17">
        <f>IFERROR(('Table G'!$B$14+'Table G'!$B$15)/(1+'Table G'!$B$18)*IF(ABS(((1+$A27)/(1+'Table G'!$B$18))-1)&lt;0.000000001,10,(1-((1+$A27)/(1+'Table G'!$B$18))^10)/(1-((1+$A27)/(1+'Table G'!$B$18))))+('Table G'!$B$14+'Table G'!$B$15)*(1+$A27)^(10-1)*(1+'Table G'!$B$25)/(('Table G'!$B$18-'Table G'!$B$25)*(1+'Table G'!$B$18)^10),"")</f>
        <v>40686.498883530701</v>
      </c>
      <c r="D27" s="17">
        <f>IFERROR(('Table G'!$B$14+'Table G'!$B$15)/(1+'Table G'!$B$18)*IF(ABS(((1+$A27)/(1+'Table G'!$B$18))-1)&lt;0.000000001,5,(1-((1+$A27)/(1+'Table G'!$B$18))^5)/(1-((1+$A27)/(1+'Table G'!$B$18))))+('Table G'!$B$14+'Table G'!$B$15)*(1+$A27)^(5-1)*(1+'Table G'!$B$26)/(('Table G'!$B$18-'Table G'!$B$26)*(1+'Table G'!$B$18)^5),"")</f>
        <v>55656.186256632747</v>
      </c>
      <c r="E27" s="17">
        <f>IFERROR(('Table G'!$B$14+'Table G'!$B$15)/(1+'Table G'!$B$18)*IF(ABS(((1+$A27)/(1+'Table G'!$B$18))-1)&lt;0.000000001,10,(1-((1+$A27)/(1+'Table G'!$B$18))^10)/(1-((1+$A27)/(1+'Table G'!$B$18))))+('Table G'!$B$14+'Table G'!$B$15)*(1+$A27)^(10-1)*(1+'Table G'!$B$26)/(('Table G'!$B$18-'Table G'!$B$26)*(1+'Table G'!$B$18)^10),"")</f>
        <v>42079.082782317128</v>
      </c>
      <c r="F27" s="17">
        <f>IFERROR(('Table G'!$B$14+'Table G'!$B$15)/(1+'Table G'!$B$18)*IF(ABS(((1+$A27)/(1+'Table G'!$B$18))-1)&lt;0.000000001,5,(1-((1+$A27)/(1+'Table G'!$B$18))^5)/(1-((1+$A27)/(1+'Table G'!$B$18))))+('Table G'!$B$14+'Table G'!$B$15)*(1+$A27)^(5-1)*(1+'Table G'!$B$27)/(('Table G'!$B$18-'Table G'!$B$27)*(1+'Table G'!$B$18)^5),"")</f>
        <v>59249.732831543399</v>
      </c>
      <c r="G27" s="17">
        <f>IFERROR(('Table G'!$B$14+'Table G'!$B$15)/(1+'Table G'!$B$18)*IF(ABS(((1+$A27)/(1+'Table G'!$B$18))-1)&lt;0.000000001,10,(1-((1+$A27)/(1+'Table G'!$B$18))^10)/(1-((1+$A27)/(1+'Table G'!$B$18))))+('Table G'!$B$14+'Table G'!$B$15)*(1+$A27)^(10-1)*(1+'Table G'!$B$27)/(('Table G'!$B$18-'Table G'!$B$27)*(1+'Table G'!$B$18)^10),"")</f>
        <v>43714.089115844588</v>
      </c>
    </row>
    <row r="28" spans="1:7" x14ac:dyDescent="0.2">
      <c r="A28" s="8">
        <f>-0.1+24*$B$2</f>
        <v>-7.6000000000000012E-2</v>
      </c>
      <c r="B28" s="17">
        <f>IFERROR(('Table G'!$B$14+'Table G'!$B$15)/(1+'Table G'!$B$18)*IF(ABS(((1+$A28)/(1+'Table G'!$B$18))-1)&lt;0.000000001,5,(1-((1+$A28)/(1+'Table G'!$B$18))^5)/(1-((1+$A28)/(1+'Table G'!$B$18))))+('Table G'!$B$14+'Table G'!$B$15)*(1+$A28)^(5-1)*(1+'Table G'!$B$25)/(('Table G'!$B$18-'Table G'!$B$25)*(1+'Table G'!$B$18)^5),"")</f>
        <v>52781.704103528784</v>
      </c>
      <c r="C28" s="17">
        <f>IFERROR(('Table G'!$B$14+'Table G'!$B$15)/(1+'Table G'!$B$18)*IF(ABS(((1+$A28)/(1+'Table G'!$B$18))-1)&lt;0.000000001,10,(1-((1+$A28)/(1+'Table G'!$B$18))^10)/(1-((1+$A28)/(1+'Table G'!$B$18))))+('Table G'!$B$14+'Table G'!$B$15)*(1+$A28)^(10-1)*(1+'Table G'!$B$25)/(('Table G'!$B$18-'Table G'!$B$25)*(1+'Table G'!$B$18)^10),"")</f>
        <v>40932.293755571256</v>
      </c>
      <c r="D28" s="17">
        <f>IFERROR(('Table G'!$B$14+'Table G'!$B$15)/(1+'Table G'!$B$18)*IF(ABS(((1+$A28)/(1+'Table G'!$B$18))-1)&lt;0.000000001,5,(1-((1+$A28)/(1+'Table G'!$B$18))^5)/(1-((1+$A28)/(1+'Table G'!$B$18))))+('Table G'!$B$14+'Table G'!$B$15)*(1+$A28)^(5-1)*(1+'Table G'!$B$26)/(('Table G'!$B$18-'Table G'!$B$26)*(1+'Table G'!$B$18)^5),"")</f>
        <v>55855.721273645191</v>
      </c>
      <c r="E28" s="17">
        <f>IFERROR(('Table G'!$B$14+'Table G'!$B$15)/(1+'Table G'!$B$18)*IF(ABS(((1+$A28)/(1+'Table G'!$B$18))-1)&lt;0.000000001,10,(1-((1+$A28)/(1+'Table G'!$B$18))^10)/(1-((1+$A28)/(1+'Table G'!$B$18))))+('Table G'!$B$14+'Table G'!$B$15)*(1+$A28)^(10-1)*(1+'Table G'!$B$26)/(('Table G'!$B$18-'Table G'!$B$26)*(1+'Table G'!$B$18)^10),"")</f>
        <v>42338.51547442186</v>
      </c>
      <c r="F28" s="17">
        <f>IFERROR(('Table G'!$B$14+'Table G'!$B$15)/(1+'Table G'!$B$18)*IF(ABS(((1+$A28)/(1+'Table G'!$B$18))-1)&lt;0.000000001,5,(1-((1+$A28)/(1+'Table G'!$B$18))^5)/(1-((1+$A28)/(1+'Table G'!$B$18))))+('Table G'!$B$14+'Table G'!$B$15)*(1+$A28)^(5-1)*(1+'Table G'!$B$27)/(('Table G'!$B$18-'Table G'!$B$27)*(1+'Table G'!$B$18)^5),"")</f>
        <v>59464.866508551655</v>
      </c>
      <c r="G28" s="17">
        <f>IFERROR(('Table G'!$B$14+'Table G'!$B$15)/(1+'Table G'!$B$18)*IF(ABS(((1+$A28)/(1+'Table G'!$B$18))-1)&lt;0.000000001,10,(1-((1+$A28)/(1+'Table G'!$B$18))^10)/(1-((1+$A28)/(1+'Table G'!$B$18))))+('Table G'!$B$14+'Table G'!$B$15)*(1+$A28)^(10-1)*(1+'Table G'!$B$27)/(('Table G'!$B$18-'Table G'!$B$27)*(1+'Table G'!$B$18)^10),"")</f>
        <v>43989.533713730998</v>
      </c>
    </row>
    <row r="29" spans="1:7" x14ac:dyDescent="0.2">
      <c r="A29" s="8">
        <f>-0.1+25*$B$2</f>
        <v>-7.5000000000000011E-2</v>
      </c>
      <c r="B29" s="17">
        <f>IFERROR(('Table G'!$B$14+'Table G'!$B$15)/(1+'Table G'!$B$18)*IF(ABS(((1+$A29)/(1+'Table G'!$B$18))-1)&lt;0.000000001,5,(1-((1+$A29)/(1+'Table G'!$B$18))^5)/(1-((1+$A29)/(1+'Table G'!$B$18))))+('Table G'!$B$14+'Table G'!$B$15)*(1+$A29)^(5-1)*(1+'Table G'!$B$25)/(('Table G'!$B$18-'Table G'!$B$25)*(1+'Table G'!$B$18)^5),"")</f>
        <v>52968.520238154611</v>
      </c>
      <c r="C29" s="17">
        <f>IFERROR(('Table G'!$B$14+'Table G'!$B$15)/(1+'Table G'!$B$18)*IF(ABS(((1+$A29)/(1+'Table G'!$B$18))-1)&lt;0.000000001,10,(1-((1+$A29)/(1+'Table G'!$B$18))^10)/(1-((1+$A29)/(1+'Table G'!$B$18))))+('Table G'!$B$14+'Table G'!$B$15)*(1+$A29)^(10-1)*(1+'Table G'!$B$25)/(('Table G'!$B$18-'Table G'!$B$25)*(1+'Table G'!$B$18)^10),"")</f>
        <v>41179.898141036683</v>
      </c>
      <c r="D29" s="17">
        <f>IFERROR(('Table G'!$B$14+'Table G'!$B$15)/(1+'Table G'!$B$18)*IF(ABS(((1+$A29)/(1+'Table G'!$B$18))-1)&lt;0.000000001,5,(1-((1+$A29)/(1+'Table G'!$B$18))^5)/(1-((1+$A29)/(1+'Table G'!$B$18))))+('Table G'!$B$14+'Table G'!$B$15)*(1+$A29)^(5-1)*(1+'Table G'!$B$26)/(('Table G'!$B$18-'Table G'!$B$26)*(1+'Table G'!$B$18)^5),"")</f>
        <v>56055.866460475358</v>
      </c>
      <c r="E29" s="17">
        <f>IFERROR(('Table G'!$B$14+'Table G'!$B$15)/(1+'Table G'!$B$18)*IF(ABS(((1+$A29)/(1+'Table G'!$B$18))-1)&lt;0.000000001,10,(1-((1+$A29)/(1+'Table G'!$B$18))^10)/(1-((1+$A29)/(1+'Table G'!$B$18))))+('Table G'!$B$14+'Table G'!$B$15)*(1+$A29)^(10-1)*(1+'Table G'!$B$26)/(('Table G'!$B$18-'Table G'!$B$26)*(1+'Table G'!$B$18)^10),"")</f>
        <v>42599.8762688774</v>
      </c>
      <c r="F29" s="17">
        <f>IFERROR(('Table G'!$B$14+'Table G'!$B$15)/(1+'Table G'!$B$18)*IF(ABS(((1+$A29)/(1+'Table G'!$B$18))-1)&lt;0.000000001,5,(1-((1+$A29)/(1+'Table G'!$B$18))^5)/(1-((1+$A29)/(1+'Table G'!$B$18))))+('Table G'!$B$14+'Table G'!$B$15)*(1+$A29)^(5-1)*(1+'Table G'!$B$27)/(('Table G'!$B$18-'Table G'!$B$27)*(1+'Table G'!$B$18)^5),"")</f>
        <v>59680.661082677616</v>
      </c>
      <c r="G29" s="17">
        <f>IFERROR(('Table G'!$B$14+'Table G'!$B$15)/(1+'Table G'!$B$18)*IF(ABS(((1+$A29)/(1+'Table G'!$B$18))-1)&lt;0.000000001,10,(1-((1+$A29)/(1+'Table G'!$B$18))^10)/(1-((1+$A29)/(1+'Table G'!$B$18))))+('Table G'!$B$14+'Table G'!$B$15)*(1+$A29)^(10-1)*(1+'Table G'!$B$27)/(('Table G'!$B$18-'Table G'!$B$27)*(1+'Table G'!$B$18)^10),"")</f>
        <v>44267.04564697609</v>
      </c>
    </row>
    <row r="30" spans="1:7" x14ac:dyDescent="0.2">
      <c r="A30" s="8">
        <f>-0.1+26*$B$2</f>
        <v>-7.400000000000001E-2</v>
      </c>
      <c r="B30" s="17">
        <f>IFERROR(('Table G'!$B$14+'Table G'!$B$15)/(1+'Table G'!$B$18)*IF(ABS(((1+$A30)/(1+'Table G'!$B$18))-1)&lt;0.000000001,5,(1-((1+$A30)/(1+'Table G'!$B$18))^5)/(1-((1+$A30)/(1+'Table G'!$B$18))))+('Table G'!$B$14+'Table G'!$B$15)*(1+$A30)^(5-1)*(1+'Table G'!$B$25)/(('Table G'!$B$18-'Table G'!$B$25)*(1+'Table G'!$B$18)^5),"")</f>
        <v>53155.904526535523</v>
      </c>
      <c r="C30" s="17">
        <f>IFERROR(('Table G'!$B$14+'Table G'!$B$15)/(1+'Table G'!$B$18)*IF(ABS(((1+$A30)/(1+'Table G'!$B$18))-1)&lt;0.000000001,10,(1-((1+$A30)/(1+'Table G'!$B$18))^10)/(1-((1+$A30)/(1+'Table G'!$B$18))))+('Table G'!$B$14+'Table G'!$B$15)*(1+$A30)^(10-1)*(1+'Table G'!$B$25)/(('Table G'!$B$18-'Table G'!$B$25)*(1+'Table G'!$B$18)^10),"")</f>
        <v>41429.324761136872</v>
      </c>
      <c r="D30" s="17">
        <f>IFERROR(('Table G'!$B$14+'Table G'!$B$15)/(1+'Table G'!$B$18)*IF(ABS(((1+$A30)/(1+'Table G'!$B$18))-1)&lt;0.000000001,5,(1-((1+$A30)/(1+'Table G'!$B$18))^5)/(1-((1+$A30)/(1+'Table G'!$B$18))))+('Table G'!$B$14+'Table G'!$B$15)*(1+$A30)^(5-1)*(1+'Table G'!$B$26)/(('Table G'!$B$18-'Table G'!$B$26)*(1+'Table G'!$B$18)^5),"")</f>
        <v>56256.623100592391</v>
      </c>
      <c r="E30" s="17">
        <f>IFERROR(('Table G'!$B$14+'Table G'!$B$15)/(1+'Table G'!$B$18)*IF(ABS(((1+$A30)/(1+'Table G'!$B$18))-1)&lt;0.000000001,10,(1-((1+$A30)/(1+'Table G'!$B$18))^10)/(1-((1+$A30)/(1+'Table G'!$B$18))))+('Table G'!$B$14+'Table G'!$B$15)*(1+$A30)^(10-1)*(1+'Table G'!$B$26)/(('Table G'!$B$18-'Table G'!$B$26)*(1+'Table G'!$B$18)^10),"")</f>
        <v>42863.17878821565</v>
      </c>
      <c r="F30" s="17">
        <f>IFERROR(('Table G'!$B$14+'Table G'!$B$15)/(1+'Table G'!$B$18)*IF(ABS(((1+$A30)/(1+'Table G'!$B$18))-1)&lt;0.000000001,5,(1-((1+$A30)/(1+'Table G'!$B$18))^5)/(1-((1+$A30)/(1+'Table G'!$B$18))))+('Table G'!$B$14+'Table G'!$B$15)*(1+$A30)^(5-1)*(1+'Table G'!$B$27)/(('Table G'!$B$18-'Table G'!$B$27)*(1+'Table G'!$B$18)^5),"")</f>
        <v>59897.117947249179</v>
      </c>
      <c r="G30" s="17">
        <f>IFERROR(('Table G'!$B$14+'Table G'!$B$15)/(1+'Table G'!$B$18)*IF(ABS(((1+$A30)/(1+'Table G'!$B$18))-1)&lt;0.000000001,10,(1-((1+$A30)/(1+'Table G'!$B$18))^10)/(1-((1+$A30)/(1+'Table G'!$B$18))))+('Table G'!$B$14+'Table G'!$B$15)*(1+$A30)^(10-1)*(1+'Table G'!$B$27)/(('Table G'!$B$18-'Table G'!$B$27)*(1+'Table G'!$B$18)^10),"")</f>
        <v>44546.639596336914</v>
      </c>
    </row>
    <row r="31" spans="1:7" x14ac:dyDescent="0.2">
      <c r="A31" s="8">
        <f>-0.1+27*$B$2</f>
        <v>-7.3000000000000009E-2</v>
      </c>
      <c r="B31" s="17">
        <f>IFERROR(('Table G'!$B$14+'Table G'!$B$15)/(1+'Table G'!$B$18)*IF(ABS(((1+$A31)/(1+'Table G'!$B$18))-1)&lt;0.000000001,5,(1-((1+$A31)/(1+'Table G'!$B$18))^5)/(1-((1+$A31)/(1+'Table G'!$B$18))))+('Table G'!$B$14+'Table G'!$B$15)*(1+$A31)^(5-1)*(1+'Table G'!$B$25)/(('Table G'!$B$18-'Table G'!$B$25)*(1+'Table G'!$B$18)^5),"")</f>
        <v>53343.858159834868</v>
      </c>
      <c r="C31" s="17">
        <f>IFERROR(('Table G'!$B$14+'Table G'!$B$15)/(1+'Table G'!$B$18)*IF(ABS(((1+$A31)/(1+'Table G'!$B$18))-1)&lt;0.000000001,10,(1-((1+$A31)/(1+'Table G'!$B$18))^10)/(1-((1+$A31)/(1+'Table G'!$B$18))))+('Table G'!$B$14+'Table G'!$B$15)*(1+$A31)^(10-1)*(1+'Table G'!$B$25)/(('Table G'!$B$18-'Table G'!$B$25)*(1+'Table G'!$B$18)^10),"")</f>
        <v>41680.586416318773</v>
      </c>
      <c r="D31" s="17">
        <f>IFERROR(('Table G'!$B$14+'Table G'!$B$15)/(1+'Table G'!$B$18)*IF(ABS(((1+$A31)/(1+'Table G'!$B$18))-1)&lt;0.000000001,5,(1-((1+$A31)/(1+'Table G'!$B$18))^5)/(1-((1+$A31)/(1+'Table G'!$B$18))))+('Table G'!$B$14+'Table G'!$B$15)*(1+$A31)^(5-1)*(1+'Table G'!$B$26)/(('Table G'!$B$18-'Table G'!$B$26)*(1+'Table G'!$B$18)^5),"")</f>
        <v>56457.992478830842</v>
      </c>
      <c r="E31" s="17">
        <f>IFERROR(('Table G'!$B$14+'Table G'!$B$15)/(1+'Table G'!$B$18)*IF(ABS(((1+$A31)/(1+'Table G'!$B$18))-1)&lt;0.000000001,10,(1-((1+$A31)/(1+'Table G'!$B$18))^10)/(1-((1+$A31)/(1+'Table G'!$B$18))))+('Table G'!$B$14+'Table G'!$B$15)*(1+$A31)^(10-1)*(1+'Table G'!$B$26)/(('Table G'!$B$18-'Table G'!$B$26)*(1+'Table G'!$B$18)^10),"")</f>
        <v>43128.436740071047</v>
      </c>
      <c r="F31" s="17">
        <f>IFERROR(('Table G'!$B$14+'Table G'!$B$15)/(1+'Table G'!$B$18)*IF(ABS(((1+$A31)/(1+'Table G'!$B$18))-1)&lt;0.000000001,5,(1-((1+$A31)/(1+'Table G'!$B$18))^5)/(1-((1+$A31)/(1+'Table G'!$B$18))))+('Table G'!$B$14+'Table G'!$B$15)*(1+$A31)^(5-1)*(1+'Table G'!$B$27)/(('Table G'!$B$18-'Table G'!$B$27)*(1+'Table G'!$B$18)^5),"")</f>
        <v>60114.238497078462</v>
      </c>
      <c r="G31" s="17">
        <f>IFERROR(('Table G'!$B$14+'Table G'!$B$15)/(1+'Table G'!$B$18)*IF(ABS(((1+$A31)/(1+'Table G'!$B$18))-1)&lt;0.000000001,10,(1-((1+$A31)/(1+'Table G'!$B$18))^10)/(1-((1+$A31)/(1+'Table G'!$B$18))))+('Table G'!$B$14+'Table G'!$B$15)*(1+$A31)^(10-1)*(1+'Table G'!$B$27)/(('Table G'!$B$18-'Table G'!$B$27)*(1+'Table G'!$B$18)^10),"")</f>
        <v>44828.330334559469</v>
      </c>
    </row>
    <row r="32" spans="1:7" x14ac:dyDescent="0.2">
      <c r="A32" s="8">
        <f>-0.1+28*$B$2</f>
        <v>-7.2000000000000008E-2</v>
      </c>
      <c r="B32" s="17">
        <f>IFERROR(('Table G'!$B$14+'Table G'!$B$15)/(1+'Table G'!$B$18)*IF(ABS(((1+$A32)/(1+'Table G'!$B$18))-1)&lt;0.000000001,5,(1-((1+$A32)/(1+'Table G'!$B$18))^5)/(1-((1+$A32)/(1+'Table G'!$B$18))))+('Table G'!$B$14+'Table G'!$B$15)*(1+$A32)^(5-1)*(1+'Table G'!$B$25)/(('Table G'!$B$18-'Table G'!$B$25)*(1+'Table G'!$B$18)^5),"")</f>
        <v>53532.382330479872</v>
      </c>
      <c r="C32" s="17">
        <f>IFERROR(('Table G'!$B$14+'Table G'!$B$15)/(1+'Table G'!$B$18)*IF(ABS(((1+$A32)/(1+'Table G'!$B$18))-1)&lt;0.000000001,10,(1-((1+$A32)/(1+'Table G'!$B$18))^10)/(1-((1+$A32)/(1+'Table G'!$B$18))))+('Table G'!$B$14+'Table G'!$B$15)*(1+$A32)^(10-1)*(1+'Table G'!$B$25)/(('Table G'!$B$18-'Table G'!$B$25)*(1+'Table G'!$B$18)^10),"")</f>
        <v>41933.695986683553</v>
      </c>
      <c r="D32" s="17">
        <f>IFERROR(('Table G'!$B$14+'Table G'!$B$15)/(1+'Table G'!$B$18)*IF(ABS(((1+$A32)/(1+'Table G'!$B$18))-1)&lt;0.000000001,5,(1-((1+$A32)/(1+'Table G'!$B$18))^5)/(1-((1+$A32)/(1+'Table G'!$B$18))))+('Table G'!$B$14+'Table G'!$B$15)*(1+$A32)^(5-1)*(1+'Table G'!$B$26)/(('Table G'!$B$18-'Table G'!$B$26)*(1+'Table G'!$B$18)^5),"")</f>
        <v>56659.975881390317</v>
      </c>
      <c r="E32" s="17">
        <f>IFERROR(('Table G'!$B$14+'Table G'!$B$15)/(1+'Table G'!$B$18)*IF(ABS(((1+$A32)/(1+'Table G'!$B$18))-1)&lt;0.000000001,10,(1-((1+$A32)/(1+'Table G'!$B$18))^10)/(1-((1+$A32)/(1+'Table G'!$B$18))))+('Table G'!$B$14+'Table G'!$B$15)*(1+$A32)^(10-1)*(1+'Table G'!$B$26)/(('Table G'!$B$18-'Table G'!$B$26)*(1+'Table G'!$B$18)^10),"")</f>
        <v>43395.66391762939</v>
      </c>
      <c r="F32" s="17">
        <f>IFERROR(('Table G'!$B$14+'Table G'!$B$15)/(1+'Table G'!$B$18)*IF(ABS(((1+$A32)/(1+'Table G'!$B$18))-1)&lt;0.000000001,5,(1-((1+$A32)/(1+'Table G'!$B$18))^5)/(1-((1+$A32)/(1+'Table G'!$B$18))))+('Table G'!$B$14+'Table G'!$B$15)*(1+$A32)^(5-1)*(1+'Table G'!$B$27)/(('Table G'!$B$18-'Table G'!$B$27)*(1+'Table G'!$B$18)^5),"")</f>
        <v>60332.024128461489</v>
      </c>
      <c r="G32" s="17">
        <f>IFERROR(('Table G'!$B$14+'Table G'!$B$15)/(1+'Table G'!$B$18)*IF(ABS(((1+$A32)/(1+'Table G'!$B$18))-1)&lt;0.000000001,10,(1-((1+$A32)/(1+'Table G'!$B$18))^10)/(1-((1+$A32)/(1+'Table G'!$B$18))))+('Table G'!$B$14+'Table G'!$B$15)*(1+$A32)^(10-1)*(1+'Table G'!$B$27)/(('Table G'!$B$18-'Table G'!$B$27)*(1+'Table G'!$B$18)^10),"")</f>
        <v>45112.132726864904</v>
      </c>
    </row>
    <row r="33" spans="1:7" x14ac:dyDescent="0.2">
      <c r="A33" s="8">
        <f>-0.1+29*$B$2</f>
        <v>-7.1000000000000008E-2</v>
      </c>
      <c r="B33" s="17">
        <f>IFERROR(('Table G'!$B$14+'Table G'!$B$15)/(1+'Table G'!$B$18)*IF(ABS(((1+$A33)/(1+'Table G'!$B$18))-1)&lt;0.000000001,5,(1-((1+$A33)/(1+'Table G'!$B$18))^5)/(1-((1+$A33)/(1+'Table G'!$B$18))))+('Table G'!$B$14+'Table G'!$B$15)*(1+$A33)^(5-1)*(1+'Table G'!$B$25)/(('Table G'!$B$18-'Table G'!$B$25)*(1+'Table G'!$B$18)^5),"")</f>
        <v>53721.478232161913</v>
      </c>
      <c r="C33" s="17">
        <f>IFERROR(('Table G'!$B$14+'Table G'!$B$15)/(1+'Table G'!$B$18)*IF(ABS(((1+$A33)/(1+'Table G'!$B$18))-1)&lt;0.000000001,10,(1-((1+$A33)/(1+'Table G'!$B$18))^10)/(1-((1+$A33)/(1+'Table G'!$B$18))))+('Table G'!$B$14+'Table G'!$B$15)*(1+$A33)^(10-1)*(1+'Table G'!$B$25)/(('Table G'!$B$18-'Table G'!$B$25)*(1+'Table G'!$B$18)^10),"")</f>
        <v>42188.666432406309</v>
      </c>
      <c r="D33" s="17">
        <f>IFERROR(('Table G'!$B$14+'Table G'!$B$15)/(1+'Table G'!$B$18)*IF(ABS(((1+$A33)/(1+'Table G'!$B$18))-1)&lt;0.000000001,5,(1-((1+$A33)/(1+'Table G'!$B$18))^5)/(1-((1+$A33)/(1+'Table G'!$B$18))))+('Table G'!$B$14+'Table G'!$B$15)*(1+$A33)^(5-1)*(1+'Table G'!$B$26)/(('Table G'!$B$18-'Table G'!$B$26)*(1+'Table G'!$B$18)^5),"")</f>
        <v>56862.574595835875</v>
      </c>
      <c r="E33" s="17">
        <f>IFERROR(('Table G'!$B$14+'Table G'!$B$15)/(1+'Table G'!$B$18)*IF(ABS(((1+$A33)/(1+'Table G'!$B$18))-1)&lt;0.000000001,10,(1-((1+$A33)/(1+'Table G'!$B$18))^10)/(1-((1+$A33)/(1+'Table G'!$B$18))))+('Table G'!$B$14+'Table G'!$B$15)*(1+$A33)^(10-1)*(1+'Table G'!$B$26)/(('Table G'!$B$18-'Table G'!$B$26)*(1+'Table G'!$B$18)^10),"")</f>
        <v>43664.874200079503</v>
      </c>
      <c r="F33" s="17">
        <f>IFERROR(('Table G'!$B$14+'Table G'!$B$15)/(1+'Table G'!$B$18)*IF(ABS(((1+$A33)/(1+'Table G'!$B$18))-1)&lt;0.000000001,5,(1-((1+$A33)/(1+'Table G'!$B$18))^5)/(1-((1+$A33)/(1+'Table G'!$B$18))))+('Table G'!$B$14+'Table G'!$B$15)*(1+$A33)^(5-1)*(1+'Table G'!$B$27)/(('Table G'!$B$18-'Table G'!$B$27)*(1+'Table G'!$B$18)^5),"")</f>
        <v>60550.476239178533</v>
      </c>
      <c r="G33" s="17">
        <f>IFERROR(('Table G'!$B$14+'Table G'!$B$15)/(1+'Table G'!$B$18)*IF(ABS(((1+$A33)/(1+'Table G'!$B$18))-1)&lt;0.000000001,10,(1-((1+$A33)/(1+'Table G'!$B$18))^10)/(1-((1+$A33)/(1+'Table G'!$B$18))))+('Table G'!$B$14+'Table G'!$B$15)*(1+$A33)^(10-1)*(1+'Table G'!$B$27)/(('Table G'!$B$18-'Table G'!$B$27)*(1+'Table G'!$B$18)^10),"")</f>
        <v>45398.061731438618</v>
      </c>
    </row>
    <row r="34" spans="1:7" x14ac:dyDescent="0.2">
      <c r="A34" s="8">
        <f>-0.1+30*$B$2</f>
        <v>-7.0000000000000007E-2</v>
      </c>
      <c r="B34" s="17">
        <f>IFERROR(('Table G'!$B$14+'Table G'!$B$15)/(1+'Table G'!$B$18)*IF(ABS(((1+$A34)/(1+'Table G'!$B$18))-1)&lt;0.000000001,5,(1-((1+$A34)/(1+'Table G'!$B$18))^5)/(1-((1+$A34)/(1+'Table G'!$B$18))))+('Table G'!$B$14+'Table G'!$B$15)*(1+$A34)^(5-1)*(1+'Table G'!$B$25)/(('Table G'!$B$18-'Table G'!$B$25)*(1+'Table G'!$B$18)^5),"")</f>
        <v>53911.147059836279</v>
      </c>
      <c r="C34" s="17">
        <f>IFERROR(('Table G'!$B$14+'Table G'!$B$15)/(1+'Table G'!$B$18)*IF(ABS(((1+$A34)/(1+'Table G'!$B$18))-1)&lt;0.000000001,10,(1-((1+$A34)/(1+'Table G'!$B$18))^10)/(1-((1+$A34)/(1+'Table G'!$B$18))))+('Table G'!$B$14+'Table G'!$B$15)*(1+$A34)^(10-1)*(1+'Table G'!$B$25)/(('Table G'!$B$18-'Table G'!$B$25)*(1+'Table G'!$B$18)^10),"")</f>
        <v>42445.510794156675</v>
      </c>
      <c r="D34" s="17">
        <f>IFERROR(('Table G'!$B$14+'Table G'!$B$15)/(1+'Table G'!$B$18)*IF(ABS(((1+$A34)/(1+'Table G'!$B$18))-1)&lt;0.000000001,5,(1-((1+$A34)/(1+'Table G'!$B$18))^5)/(1-((1+$A34)/(1+'Table G'!$B$18))))+('Table G'!$B$14+'Table G'!$B$15)*(1+$A34)^(5-1)*(1+'Table G'!$B$26)/(('Table G'!$B$18-'Table G'!$B$26)*(1+'Table G'!$B$18)^5),"")</f>
        <v>57065.78991109757</v>
      </c>
      <c r="E34" s="17">
        <f>IFERROR(('Table G'!$B$14+'Table G'!$B$15)/(1+'Table G'!$B$18)*IF(ABS(((1+$A34)/(1+'Table G'!$B$18))-1)&lt;0.000000001,10,(1-((1+$A34)/(1+'Table G'!$B$18))^10)/(1-((1+$A34)/(1+'Table G'!$B$18))))+('Table G'!$B$14+'Table G'!$B$15)*(1+$A34)^(10-1)*(1+'Table G'!$B$26)/(('Table G'!$B$18-'Table G'!$B$26)*(1+'Table G'!$B$18)^10),"")</f>
        <v>43936.081553065887</v>
      </c>
      <c r="F34" s="17">
        <f>IFERROR(('Table G'!$B$14+'Table G'!$B$15)/(1+'Table G'!$B$18)*IF(ABS(((1+$A34)/(1+'Table G'!$B$18))-1)&lt;0.000000001,5,(1-((1+$A34)/(1+'Table G'!$B$18))^5)/(1-((1+$A34)/(1+'Table G'!$B$18))))+('Table G'!$B$14+'Table G'!$B$15)*(1+$A34)^(5-1)*(1+'Table G'!$B$27)/(('Table G'!$B$18-'Table G'!$B$27)*(1+'Table G'!$B$18)^5),"")</f>
        <v>60769.596228493741</v>
      </c>
      <c r="G34" s="17">
        <f>IFERROR(('Table G'!$B$14+'Table G'!$B$15)/(1+'Table G'!$B$18)*IF(ABS(((1+$A34)/(1+'Table G'!$B$18))-1)&lt;0.000000001,10,(1-((1+$A34)/(1+'Table G'!$B$18))^10)/(1-((1+$A34)/(1+'Table G'!$B$18))))+('Table G'!$B$14+'Table G'!$B$15)*(1+$A34)^(10-1)*(1+'Table G'!$B$27)/(('Table G'!$B$18-'Table G'!$B$27)*(1+'Table G'!$B$18)^10),"")</f>
        <v>45686.132399920571</v>
      </c>
    </row>
    <row r="35" spans="1:7" x14ac:dyDescent="0.2">
      <c r="A35" s="8">
        <f>-0.1+31*$B$2</f>
        <v>-6.9000000000000006E-2</v>
      </c>
      <c r="B35" s="17">
        <f>IFERROR(('Table G'!$B$14+'Table G'!$B$15)/(1+'Table G'!$B$18)*IF(ABS(((1+$A35)/(1+'Table G'!$B$18))-1)&lt;0.000000001,5,(1-((1+$A35)/(1+'Table G'!$B$18))^5)/(1-((1+$A35)/(1+'Table G'!$B$18))))+('Table G'!$B$14+'Table G'!$B$15)*(1+$A35)^(5-1)*(1+'Table G'!$B$25)/(('Table G'!$B$18-'Table G'!$B$25)*(1+'Table G'!$B$18)^5),"")</f>
        <v>54101.390009722381</v>
      </c>
      <c r="C35" s="17">
        <f>IFERROR(('Table G'!$B$14+'Table G'!$B$15)/(1+'Table G'!$B$18)*IF(ABS(((1+$A35)/(1+'Table G'!$B$18))-1)&lt;0.000000001,10,(1-((1+$A35)/(1+'Table G'!$B$18))^10)/(1-((1+$A35)/(1+'Table G'!$B$18))))+('Table G'!$B$14+'Table G'!$B$15)*(1+$A35)^(10-1)*(1+'Table G'!$B$25)/(('Table G'!$B$18-'Table G'!$B$25)*(1+'Table G'!$B$18)^10),"")</f>
        <v>42704.242193522201</v>
      </c>
      <c r="D35" s="17">
        <f>IFERROR(('Table G'!$B$14+'Table G'!$B$15)/(1+'Table G'!$B$18)*IF(ABS(((1+$A35)/(1+'Table G'!$B$18))-1)&lt;0.000000001,5,(1-((1+$A35)/(1+'Table G'!$B$18))^5)/(1-((1+$A35)/(1+'Table G'!$B$18))))+('Table G'!$B$14+'Table G'!$B$15)*(1+$A35)^(5-1)*(1+'Table G'!$B$26)/(('Table G'!$B$18-'Table G'!$B$26)*(1+'Table G'!$B$18)^5),"")</f>
        <v>57269.62311747091</v>
      </c>
      <c r="E35" s="17">
        <f>IFERROR(('Table G'!$B$14+'Table G'!$B$15)/(1+'Table G'!$B$18)*IF(ABS(((1+$A35)/(1+'Table G'!$B$18))-1)&lt;0.000000001,10,(1-((1+$A35)/(1+'Table G'!$B$18))^10)/(1-((1+$A35)/(1+'Table G'!$B$18))))+('Table G'!$B$14+'Table G'!$B$15)*(1+$A35)^(10-1)*(1+'Table G'!$B$26)/(('Table G'!$B$18-'Table G'!$B$26)*(1+'Table G'!$B$18)^10),"")</f>
        <v>44209.300029144288</v>
      </c>
      <c r="F35" s="17">
        <f>IFERROR(('Table G'!$B$14+'Table G'!$B$15)/(1+'Table G'!$B$18)*IF(ABS(((1+$A35)/(1+'Table G'!$B$18))-1)&lt;0.000000001,5,(1-((1+$A35)/(1+'Table G'!$B$18))^5)/(1-((1+$A35)/(1+'Table G'!$B$18))))+('Table G'!$B$14+'Table G'!$B$15)*(1+$A35)^(5-1)*(1+'Table G'!$B$27)/(('Table G'!$B$18-'Table G'!$B$27)*(1+'Table G'!$B$18)^5),"")</f>
        <v>60989.38549715549</v>
      </c>
      <c r="G35" s="17">
        <f>IFERROR(('Table G'!$B$14+'Table G'!$B$15)/(1+'Table G'!$B$18)*IF(ABS(((1+$A35)/(1+'Table G'!$B$18))-1)&lt;0.000000001,10,(1-((1+$A35)/(1+'Table G'!$B$18))^10)/(1-((1+$A35)/(1+'Table G'!$B$18))))+('Table G'!$B$14+'Table G'!$B$15)*(1+$A35)^(10-1)*(1+'Table G'!$B$27)/(('Table G'!$B$18-'Table G'!$B$27)*(1+'Table G'!$B$18)^10),"")</f>
        <v>45976.359877898612</v>
      </c>
    </row>
    <row r="36" spans="1:7" x14ac:dyDescent="0.2">
      <c r="A36" s="8">
        <f>-0.1+32*$B$2</f>
        <v>-6.8000000000000005E-2</v>
      </c>
      <c r="B36" s="17">
        <f>IFERROR(('Table G'!$B$14+'Table G'!$B$15)/(1+'Table G'!$B$18)*IF(ABS(((1+$A36)/(1+'Table G'!$B$18))-1)&lt;0.000000001,5,(1-((1+$A36)/(1+'Table G'!$B$18))^5)/(1-((1+$A36)/(1+'Table G'!$B$18))))+('Table G'!$B$14+'Table G'!$B$15)*(1+$A36)^(5-1)*(1+'Table G'!$B$25)/(('Table G'!$B$18-'Table G'!$B$25)*(1+'Table G'!$B$18)^5),"")</f>
        <v>54292.208279303522</v>
      </c>
      <c r="C36" s="17">
        <f>IFERROR(('Table G'!$B$14+'Table G'!$B$15)/(1+'Table G'!$B$18)*IF(ABS(((1+$A36)/(1+'Table G'!$B$18))-1)&lt;0.000000001,10,(1-((1+$A36)/(1+'Table G'!$B$18))^10)/(1-((1+$A36)/(1+'Table G'!$B$18))))+('Table G'!$B$14+'Table G'!$B$15)*(1+$A36)^(10-1)*(1+'Table G'!$B$25)/(('Table G'!$B$18-'Table G'!$B$25)*(1+'Table G'!$B$18)^10),"")</f>
        <v>42964.873833432546</v>
      </c>
      <c r="D36" s="17">
        <f>IFERROR(('Table G'!$B$14+'Table G'!$B$15)/(1+'Table G'!$B$18)*IF(ABS(((1+$A36)/(1+'Table G'!$B$18))-1)&lt;0.000000001,5,(1-((1+$A36)/(1+'Table G'!$B$18))^5)/(1-((1+$A36)/(1+'Table G'!$B$18))))+('Table G'!$B$14+'Table G'!$B$15)*(1+$A36)^(5-1)*(1+'Table G'!$B$26)/(('Table G'!$B$18-'Table G'!$B$26)*(1+'Table G'!$B$18)^5),"")</f>
        <v>57474.075506616413</v>
      </c>
      <c r="E36" s="17">
        <f>IFERROR(('Table G'!$B$14+'Table G'!$B$15)/(1+'Table G'!$B$18)*IF(ABS(((1+$A36)/(1+'Table G'!$B$18))-1)&lt;0.000000001,10,(1-((1+$A36)/(1+'Table G'!$B$18))^10)/(1-((1+$A36)/(1+'Table G'!$B$18))))+('Table G'!$B$14+'Table G'!$B$15)*(1+$A36)^(10-1)*(1+'Table G'!$B$26)/(('Table G'!$B$18-'Table G'!$B$26)*(1+'Table G'!$B$18)^10),"")</f>
        <v>44484.543768238233</v>
      </c>
      <c r="F36" s="17">
        <f>IFERROR(('Table G'!$B$14+'Table G'!$B$15)/(1+'Table G'!$B$18)*IF(ABS(((1+$A36)/(1+'Table G'!$B$18))-1)&lt;0.000000001,5,(1-((1+$A36)/(1+'Table G'!$B$18))^5)/(1-((1+$A36)/(1+'Table G'!$B$18))))+('Table G'!$B$14+'Table G'!$B$15)*(1+$A36)^(5-1)*(1+'Table G'!$B$27)/(('Table G'!$B$18-'Table G'!$B$27)*(1+'Table G'!$B$18)^5),"")</f>
        <v>61209.845447396045</v>
      </c>
      <c r="G36" s="17">
        <f>IFERROR(('Table G'!$B$14+'Table G'!$B$15)/(1+'Table G'!$B$18)*IF(ABS(((1+$A36)/(1+'Table G'!$B$18))-1)&lt;0.000000001,10,(1-((1+$A36)/(1+'Table G'!$B$18))^10)/(1-((1+$A36)/(1+'Table G'!$B$18))))+('Table G'!$B$14+'Table G'!$B$15)*(1+$A36)^(10-1)*(1+'Table G'!$B$27)/(('Table G'!$B$18-'Table G'!$B$27)*(1+'Table G'!$B$18)^10),"")</f>
        <v>46268.759405402961</v>
      </c>
    </row>
    <row r="37" spans="1:7" x14ac:dyDescent="0.2">
      <c r="A37" s="8">
        <f>-0.1+33*$B$2</f>
        <v>-6.7000000000000004E-2</v>
      </c>
      <c r="B37" s="17">
        <f>IFERROR(('Table G'!$B$14+'Table G'!$B$15)/(1+'Table G'!$B$18)*IF(ABS(((1+$A37)/(1+'Table G'!$B$18))-1)&lt;0.000000001,5,(1-((1+$A37)/(1+'Table G'!$B$18))^5)/(1-((1+$A37)/(1+'Table G'!$B$18))))+('Table G'!$B$14+'Table G'!$B$15)*(1+$A37)^(5-1)*(1+'Table G'!$B$25)/(('Table G'!$B$18-'Table G'!$B$25)*(1+'Table G'!$B$18)^5),"")</f>
        <v>54483.603067327196</v>
      </c>
      <c r="C37" s="17">
        <f>IFERROR(('Table G'!$B$14+'Table G'!$B$15)/(1+'Table G'!$B$18)*IF(ABS(((1+$A37)/(1+'Table G'!$B$18))-1)&lt;0.000000001,10,(1-((1+$A37)/(1+'Table G'!$B$18))^10)/(1-((1+$A37)/(1+'Table G'!$B$18))))+('Table G'!$B$14+'Table G'!$B$15)*(1+$A37)^(10-1)*(1+'Table G'!$B$25)/(('Table G'!$B$18-'Table G'!$B$25)*(1+'Table G'!$B$18)^10),"")</f>
        <v>43227.418998586421</v>
      </c>
      <c r="D37" s="17">
        <f>IFERROR(('Table G'!$B$14+'Table G'!$B$15)/(1+'Table G'!$B$18)*IF(ABS(((1+$A37)/(1+'Table G'!$B$18))-1)&lt;0.000000001,5,(1-((1+$A37)/(1+'Table G'!$B$18))^5)/(1-((1+$A37)/(1+'Table G'!$B$18))))+('Table G'!$B$14+'Table G'!$B$15)*(1+$A37)^(5-1)*(1+'Table G'!$B$26)/(('Table G'!$B$18-'Table G'!$B$26)*(1+'Table G'!$B$18)^5),"")</f>
        <v>57679.148371560063</v>
      </c>
      <c r="E37" s="17">
        <f>IFERROR(('Table G'!$B$14+'Table G'!$B$15)/(1+'Table G'!$B$18)*IF(ABS(((1+$A37)/(1+'Table G'!$B$18))-1)&lt;0.000000001,10,(1-((1+$A37)/(1+'Table G'!$B$18))^10)/(1-((1+$A37)/(1+'Table G'!$B$18))))+('Table G'!$B$14+'Table G'!$B$15)*(1+$A37)^(10-1)*(1+'Table G'!$B$26)/(('Table G'!$B$18-'Table G'!$B$26)*(1+'Table G'!$B$18)^10),"")</f>
        <v>44761.826998098404</v>
      </c>
      <c r="F37" s="17">
        <f>IFERROR(('Table G'!$B$14+'Table G'!$B$15)/(1+'Table G'!$B$18)*IF(ABS(((1+$A37)/(1+'Table G'!$B$18))-1)&lt;0.000000001,5,(1-((1+$A37)/(1+'Table G'!$B$18))^5)/(1-((1+$A37)/(1+'Table G'!$B$18))))+('Table G'!$B$14+'Table G'!$B$15)*(1+$A37)^(5-1)*(1+'Table G'!$B$27)/(('Table G'!$B$18-'Table G'!$B$27)*(1+'Table G'!$B$18)^5),"")</f>
        <v>61430.977482931943</v>
      </c>
      <c r="G37" s="17">
        <f>IFERROR(('Table G'!$B$14+'Table G'!$B$15)/(1+'Table G'!$B$18)*IF(ABS(((1+$A37)/(1+'Table G'!$B$18))-1)&lt;0.000000001,10,(1-((1+$A37)/(1+'Table G'!$B$18))^10)/(1-((1+$A37)/(1+'Table G'!$B$18))))+('Table G'!$B$14+'Table G'!$B$15)*(1+$A37)^(10-1)*(1+'Table G'!$B$27)/(('Table G'!$B$18-'Table G'!$B$27)*(1+'Table G'!$B$18)^10),"")</f>
        <v>46563.346317403739</v>
      </c>
    </row>
    <row r="38" spans="1:7" x14ac:dyDescent="0.2">
      <c r="A38" s="8">
        <f>-0.1+34*$B$2</f>
        <v>-6.6000000000000003E-2</v>
      </c>
      <c r="B38" s="17">
        <f>IFERROR(('Table G'!$B$14+'Table G'!$B$15)/(1+'Table G'!$B$18)*IF(ABS(((1+$A38)/(1+'Table G'!$B$18))-1)&lt;0.000000001,5,(1-((1+$A38)/(1+'Table G'!$B$18))^5)/(1-((1+$A38)/(1+'Table G'!$B$18))))+('Table G'!$B$14+'Table G'!$B$15)*(1+$A38)^(5-1)*(1+'Table G'!$B$25)/(('Table G'!$B$18-'Table G'!$B$25)*(1+'Table G'!$B$18)^5),"")</f>
        <v>54675.575573804716</v>
      </c>
      <c r="C38" s="17">
        <f>IFERROR(('Table G'!$B$14+'Table G'!$B$15)/(1+'Table G'!$B$18)*IF(ABS(((1+$A38)/(1+'Table G'!$B$18))-1)&lt;0.000000001,10,(1-((1+$A38)/(1+'Table G'!$B$18))^10)/(1-((1+$A38)/(1+'Table G'!$B$18))))+('Table G'!$B$14+'Table G'!$B$15)*(1+$A38)^(10-1)*(1+'Table G'!$B$25)/(('Table G'!$B$18-'Table G'!$B$25)*(1+'Table G'!$B$18)^10),"")</f>
        <v>43491.891055879314</v>
      </c>
      <c r="D38" s="17">
        <f>IFERROR(('Table G'!$B$14+'Table G'!$B$15)/(1+'Table G'!$B$18)*IF(ABS(((1+$A38)/(1+'Table G'!$B$18))-1)&lt;0.000000001,5,(1-((1+$A38)/(1+'Table G'!$B$18))^5)/(1-((1+$A38)/(1+'Table G'!$B$18))))+('Table G'!$B$14+'Table G'!$B$15)*(1+$A38)^(5-1)*(1+'Table G'!$B$26)/(('Table G'!$B$18-'Table G'!$B$26)*(1+'Table G'!$B$18)^5),"")</f>
        <v>57884.843006692841</v>
      </c>
      <c r="E38" s="17">
        <f>IFERROR(('Table G'!$B$14+'Table G'!$B$15)/(1+'Table G'!$B$18)*IF(ABS(((1+$A38)/(1+'Table G'!$B$18))-1)&lt;0.000000001,10,(1-((1+$A38)/(1+'Table G'!$B$18))^10)/(1-((1+$A38)/(1+'Table G'!$B$18))))+('Table G'!$B$14+'Table G'!$B$15)*(1+$A38)^(10-1)*(1+'Table G'!$B$26)/(('Table G'!$B$18-'Table G'!$B$26)*(1+'Table G'!$B$18)^10),"")</f>
        <v>45041.16403476298</v>
      </c>
      <c r="F38" s="17">
        <f>IFERROR(('Table G'!$B$14+'Table G'!$B$15)/(1+'Table G'!$B$18)*IF(ABS(((1+$A38)/(1+'Table G'!$B$18))-1)&lt;0.000000001,5,(1-((1+$A38)/(1+'Table G'!$B$18))^5)/(1-((1+$A38)/(1+'Table G'!$B$18))))+('Table G'!$B$14+'Table G'!$B$15)*(1+$A38)^(5-1)*(1+'Table G'!$B$27)/(('Table G'!$B$18-'Table G'!$B$27)*(1+'Table G'!$B$18)^5),"")</f>
        <v>61652.783008963554</v>
      </c>
      <c r="G38" s="17">
        <f>IFERROR(('Table G'!$B$14+'Table G'!$B$15)/(1+'Table G'!$B$18)*IF(ABS(((1+$A38)/(1+'Table G'!$B$18))-1)&lt;0.000000001,10,(1-((1+$A38)/(1+'Table G'!$B$18))^10)/(1-((1+$A38)/(1+'Table G'!$B$18))))+('Table G'!$B$14+'Table G'!$B$15)*(1+$A38)^(10-1)*(1+'Table G'!$B$27)/(('Table G'!$B$18-'Table G'!$B$27)*(1+'Table G'!$B$18)^10),"")</f>
        <v>46860.136044309547</v>
      </c>
    </row>
    <row r="39" spans="1:7" x14ac:dyDescent="0.2">
      <c r="A39" s="8">
        <f>-0.1+35*$B$2</f>
        <v>-6.5000000000000002E-2</v>
      </c>
      <c r="B39" s="17">
        <f>IFERROR(('Table G'!$B$14+'Table G'!$B$15)/(1+'Table G'!$B$18)*IF(ABS(((1+$A39)/(1+'Table G'!$B$18))-1)&lt;0.000000001,5,(1-((1+$A39)/(1+'Table G'!$B$18))^5)/(1-((1+$A39)/(1+'Table G'!$B$18))))+('Table G'!$B$14+'Table G'!$B$15)*(1+$A39)^(5-1)*(1+'Table G'!$B$25)/(('Table G'!$B$18-'Table G'!$B$25)*(1+'Table G'!$B$18)^5),"")</f>
        <v>54868.127000011627</v>
      </c>
      <c r="C39" s="17">
        <f>IFERROR(('Table G'!$B$14+'Table G'!$B$15)/(1+'Table G'!$B$18)*IF(ABS(((1+$A39)/(1+'Table G'!$B$18))-1)&lt;0.000000001,10,(1-((1+$A39)/(1+'Table G'!$B$18))^10)/(1-((1+$A39)/(1+'Table G'!$B$18))))+('Table G'!$B$14+'Table G'!$B$15)*(1+$A39)^(10-1)*(1+'Table G'!$B$25)/(('Table G'!$B$18-'Table G'!$B$25)*(1+'Table G'!$B$18)^10),"")</f>
        <v>43758.303454834138</v>
      </c>
      <c r="D39" s="17">
        <f>IFERROR(('Table G'!$B$14+'Table G'!$B$15)/(1+'Table G'!$B$18)*IF(ABS(((1+$A39)/(1+'Table G'!$B$18))-1)&lt;0.000000001,5,(1-((1+$A39)/(1+'Table G'!$B$18))^5)/(1-((1+$A39)/(1+'Table G'!$B$18))))+('Table G'!$B$14+'Table G'!$B$15)*(1+$A39)^(5-1)*(1+'Table G'!$B$26)/(('Table G'!$B$18-'Table G'!$B$26)*(1+'Table G'!$B$18)^5),"")</f>
        <v>58091.160707771167</v>
      </c>
      <c r="E39" s="17">
        <f>IFERROR(('Table G'!$B$14+'Table G'!$B$15)/(1+'Table G'!$B$18)*IF(ABS(((1+$A39)/(1+'Table G'!$B$18))-1)&lt;0.000000001,10,(1-((1+$A39)/(1+'Table G'!$B$18))^10)/(1-((1+$A39)/(1+'Table G'!$B$18))))+('Table G'!$B$14+'Table G'!$B$15)*(1+$A39)^(10-1)*(1+'Table G'!$B$26)/(('Table G'!$B$18-'Table G'!$B$26)*(1+'Table G'!$B$18)^10),"")</f>
        <v>45322.569283021061</v>
      </c>
      <c r="F39" s="17">
        <f>IFERROR(('Table G'!$B$14+'Table G'!$B$15)/(1+'Table G'!$B$18)*IF(ABS(((1+$A39)/(1+'Table G'!$B$18))-1)&lt;0.000000001,5,(1-((1+$A39)/(1+'Table G'!$B$18))^5)/(1-((1+$A39)/(1+'Table G'!$B$18))))+('Table G'!$B$14+'Table G'!$B$15)*(1+$A39)^(5-1)*(1+'Table G'!$B$27)/(('Table G'!$B$18-'Table G'!$B$27)*(1+'Table G'!$B$18)^5),"")</f>
        <v>61875.263432175503</v>
      </c>
      <c r="G39" s="17">
        <f>IFERROR(('Table G'!$B$14+'Table G'!$B$15)/(1+'Table G'!$B$18)*IF(ABS(((1+$A39)/(1+'Table G'!$B$18))-1)&lt;0.000000001,10,(1-((1+$A39)/(1+'Table G'!$B$18))^10)/(1-((1+$A39)/(1+'Table G'!$B$18))))+('Table G'!$B$14+'Table G'!$B$15)*(1+$A39)^(10-1)*(1+'Table G'!$B$27)/(('Table G'!$B$18-'Table G'!$B$27)*(1+'Table G'!$B$18)^10),"")</f>
        <v>47159.14411246941</v>
      </c>
    </row>
    <row r="40" spans="1:7" x14ac:dyDescent="0.2">
      <c r="A40" s="8">
        <f>-0.1+36*$B$2</f>
        <v>-6.4000000000000001E-2</v>
      </c>
      <c r="B40" s="17">
        <f>IFERROR(('Table G'!$B$14+'Table G'!$B$15)/(1+'Table G'!$B$18)*IF(ABS(((1+$A40)/(1+'Table G'!$B$18))-1)&lt;0.000000001,5,(1-((1+$A40)/(1+'Table G'!$B$18))^5)/(1-((1+$A40)/(1+'Table G'!$B$18))))+('Table G'!$B$14+'Table G'!$B$15)*(1+$A40)^(5-1)*(1+'Table G'!$B$25)/(('Table G'!$B$18-'Table G'!$B$25)*(1+'Table G'!$B$18)^5),"")</f>
        <v>55061.258548487276</v>
      </c>
      <c r="C40" s="17">
        <f>IFERROR(('Table G'!$B$14+'Table G'!$B$15)/(1+'Table G'!$B$18)*IF(ABS(((1+$A40)/(1+'Table G'!$B$18))-1)&lt;0.000000001,10,(1-((1+$A40)/(1+'Table G'!$B$18))^10)/(1-((1+$A40)/(1+'Table G'!$B$18))))+('Table G'!$B$14+'Table G'!$B$15)*(1+$A40)^(10-1)*(1+'Table G'!$B$25)/(('Table G'!$B$18-'Table G'!$B$25)*(1+'Table G'!$B$18)^10),"")</f>
        <v>44026.669728032532</v>
      </c>
      <c r="D40" s="17">
        <f>IFERROR(('Table G'!$B$14+'Table G'!$B$15)/(1+'Table G'!$B$18)*IF(ABS(((1+$A40)/(1+'Table G'!$B$18))-1)&lt;0.000000001,5,(1-((1+$A40)/(1+'Table G'!$B$18))^5)/(1-((1+$A40)/(1+'Table G'!$B$18))))+('Table G'!$B$14+'Table G'!$B$15)*(1+$A40)^(5-1)*(1+'Table G'!$B$26)/(('Table G'!$B$18-'Table G'!$B$26)*(1+'Table G'!$B$18)^5),"")</f>
        <v>58298.102771916499</v>
      </c>
      <c r="E40" s="17">
        <f>IFERROR(('Table G'!$B$14+'Table G'!$B$15)/(1+'Table G'!$B$18)*IF(ABS(((1+$A40)/(1+'Table G'!$B$18))-1)&lt;0.000000001,10,(1-((1+$A40)/(1+'Table G'!$B$18))^10)/(1-((1+$A40)/(1+'Table G'!$B$18))))+('Table G'!$B$14+'Table G'!$B$15)*(1+$A40)^(10-1)*(1+'Table G'!$B$26)/(('Table G'!$B$18-'Table G'!$B$26)*(1+'Table G'!$B$18)^10),"")</f>
        <v>45606.057236876804</v>
      </c>
      <c r="F40" s="17">
        <f>IFERROR(('Table G'!$B$14+'Table G'!$B$15)/(1+'Table G'!$B$18)*IF(ABS(((1+$A40)/(1+'Table G'!$B$18))-1)&lt;0.000000001,5,(1-((1+$A40)/(1+'Table G'!$B$18))^5)/(1-((1+$A40)/(1+'Table G'!$B$18))))+('Table G'!$B$14+'Table G'!$B$15)*(1+$A40)^(5-1)*(1+'Table G'!$B$27)/(('Table G'!$B$18-'Table G'!$B$27)*(1+'Table G'!$B$18)^5),"")</f>
        <v>62098.420160736314</v>
      </c>
      <c r="G40" s="17">
        <f>IFERROR(('Table G'!$B$14+'Table G'!$B$15)/(1+'Table G'!$B$18)*IF(ABS(((1+$A40)/(1+'Table G'!$B$18))-1)&lt;0.000000001,10,(1-((1+$A40)/(1+'Table G'!$B$18))^10)/(1-((1+$A40)/(1+'Table G'!$B$18))))+('Table G'!$B$14+'Table G'!$B$15)*(1+$A40)^(10-1)*(1+'Table G'!$B$27)/(('Table G'!$B$18-'Table G'!$B$27)*(1+'Table G'!$B$18)^10),"")</f>
        <v>47460.386144675402</v>
      </c>
    </row>
    <row r="41" spans="1:7" x14ac:dyDescent="0.2">
      <c r="A41" s="8">
        <f>-0.1+37*$B$2</f>
        <v>-6.3E-2</v>
      </c>
      <c r="B41" s="17">
        <f>IFERROR(('Table G'!$B$14+'Table G'!$B$15)/(1+'Table G'!$B$18)*IF(ABS(((1+$A41)/(1+'Table G'!$B$18))-1)&lt;0.000000001,5,(1-((1+$A41)/(1+'Table G'!$B$18))^5)/(1-((1+$A41)/(1+'Table G'!$B$18))))+('Table G'!$B$14+'Table G'!$B$15)*(1+$A41)^(5-1)*(1+'Table G'!$B$25)/(('Table G'!$B$18-'Table G'!$B$25)*(1+'Table G'!$B$18)^5),"")</f>
        <v>55254.971423035255</v>
      </c>
      <c r="C41" s="17">
        <f>IFERROR(('Table G'!$B$14+'Table G'!$B$15)/(1+'Table G'!$B$18)*IF(ABS(((1+$A41)/(1+'Table G'!$B$18))-1)&lt;0.000000001,10,(1-((1+$A41)/(1+'Table G'!$B$18))^10)/(1-((1+$A41)/(1+'Table G'!$B$18))))+('Table G'!$B$14+'Table G'!$B$15)*(1+$A41)^(10-1)*(1+'Table G'!$B$25)/(('Table G'!$B$18-'Table G'!$B$25)*(1+'Table G'!$B$18)^10),"")</f>
        <v>44297.003491549149</v>
      </c>
      <c r="D41" s="17">
        <f>IFERROR(('Table G'!$B$14+'Table G'!$B$15)/(1+'Table G'!$B$18)*IF(ABS(((1+$A41)/(1+'Table G'!$B$18))-1)&lt;0.000000001,5,(1-((1+$A41)/(1+'Table G'!$B$18))^5)/(1-((1+$A41)/(1+'Table G'!$B$18))))+('Table G'!$B$14+'Table G'!$B$15)*(1+$A41)^(5-1)*(1+'Table G'!$B$26)/(('Table G'!$B$18-'Table G'!$B$26)*(1+'Table G'!$B$18)^5),"")</f>
        <v>58505.670497615749</v>
      </c>
      <c r="E41" s="17">
        <f>IFERROR(('Table G'!$B$14+'Table G'!$B$15)/(1+'Table G'!$B$18)*IF(ABS(((1+$A41)/(1+'Table G'!$B$18))-1)&lt;0.000000001,10,(1-((1+$A41)/(1+'Table G'!$B$18))^10)/(1-((1+$A41)/(1+'Table G'!$B$18))))+('Table G'!$B$14+'Table G'!$B$15)*(1+$A41)^(10-1)*(1+'Table G'!$B$26)/(('Table G'!$B$18-'Table G'!$B$26)*(1+'Table G'!$B$18)^10),"")</f>
        <v>45891.642480016795</v>
      </c>
      <c r="F41" s="17">
        <f>IFERROR(('Table G'!$B$14+'Table G'!$B$15)/(1+'Table G'!$B$18)*IF(ABS(((1+$A41)/(1+'Table G'!$B$18))-1)&lt;0.000000001,5,(1-((1+$A41)/(1+'Table G'!$B$18))^5)/(1-((1+$A41)/(1+'Table G'!$B$18))))+('Table G'!$B$14+'Table G'!$B$15)*(1+$A41)^(5-1)*(1+'Table G'!$B$27)/(('Table G'!$B$18-'Table G'!$B$27)*(1+'Table G'!$B$18)^5),"")</f>
        <v>62322.254604298774</v>
      </c>
      <c r="G41" s="17">
        <f>IFERROR(('Table G'!$B$14+'Table G'!$B$15)/(1+'Table G'!$B$18)*IF(ABS(((1+$A41)/(1+'Table G'!$B$18))-1)&lt;0.000000001,10,(1-((1+$A41)/(1+'Table G'!$B$18))^10)/(1-((1+$A41)/(1+'Table G'!$B$18))))+('Table G'!$B$14+'Table G'!$B$15)*(1+$A41)^(10-1)*(1+'Table G'!$B$27)/(('Table G'!$B$18-'Table G'!$B$27)*(1+'Table G'!$B$18)^10),"")</f>
        <v>47763.87786066893</v>
      </c>
    </row>
    <row r="42" spans="1:7" x14ac:dyDescent="0.2">
      <c r="A42" s="8">
        <f>-0.1+38*$B$2</f>
        <v>-6.2000000000000006E-2</v>
      </c>
      <c r="B42" s="17">
        <f>IFERROR(('Table G'!$B$14+'Table G'!$B$15)/(1+'Table G'!$B$18)*IF(ABS(((1+$A42)/(1+'Table G'!$B$18))-1)&lt;0.000000001,5,(1-((1+$A42)/(1+'Table G'!$B$18))^5)/(1-((1+$A42)/(1+'Table G'!$B$18))))+('Table G'!$B$14+'Table G'!$B$15)*(1+$A42)^(5-1)*(1+'Table G'!$B$25)/(('Table G'!$B$18-'Table G'!$B$25)*(1+'Table G'!$B$18)^5),"")</f>
        <v>55449.266828722939</v>
      </c>
      <c r="C42" s="17">
        <f>IFERROR(('Table G'!$B$14+'Table G'!$B$15)/(1+'Table G'!$B$18)*IF(ABS(((1+$A42)/(1+'Table G'!$B$18))-1)&lt;0.000000001,10,(1-((1+$A42)/(1+'Table G'!$B$18))^10)/(1-((1+$A42)/(1+'Table G'!$B$18))))+('Table G'!$B$14+'Table G'!$B$15)*(1+$A42)^(10-1)*(1+'Table G'!$B$25)/(('Table G'!$B$18-'Table G'!$B$25)*(1+'Table G'!$B$18)^10),"")</f>
        <v>44569.318445386627</v>
      </c>
      <c r="D42" s="17">
        <f>IFERROR(('Table G'!$B$14+'Table G'!$B$15)/(1+'Table G'!$B$18)*IF(ABS(((1+$A42)/(1+'Table G'!$B$18))-1)&lt;0.000000001,5,(1-((1+$A42)/(1+'Table G'!$B$18))^5)/(1-((1+$A42)/(1+'Table G'!$B$18))))+('Table G'!$B$14+'Table G'!$B$15)*(1+$A42)^(5-1)*(1+'Table G'!$B$26)/(('Table G'!$B$18-'Table G'!$B$26)*(1+'Table G'!$B$18)^5),"")</f>
        <v>58713.865184720802</v>
      </c>
      <c r="E42" s="17">
        <f>IFERROR(('Table G'!$B$14+'Table G'!$B$15)/(1+'Table G'!$B$18)*IF(ABS(((1+$A42)/(1+'Table G'!$B$18))-1)&lt;0.000000001,10,(1-((1+$A42)/(1+'Table G'!$B$18))^10)/(1-((1+$A42)/(1+'Table G'!$B$18))))+('Table G'!$B$14+'Table G'!$B$15)*(1+$A42)^(10-1)*(1+'Table G'!$B$26)/(('Table G'!$B$18-'Table G'!$B$26)*(1+'Table G'!$B$18)^10),"")</f>
        <v>46179.339686278137</v>
      </c>
      <c r="F42" s="17">
        <f>IFERROR(('Table G'!$B$14+'Table G'!$B$15)/(1+'Table G'!$B$18)*IF(ABS(((1+$A42)/(1+'Table G'!$B$18))-1)&lt;0.000000001,5,(1-((1+$A42)/(1+'Table G'!$B$18))^5)/(1-((1+$A42)/(1+'Table G'!$B$18))))+('Table G'!$B$14+'Table G'!$B$15)*(1+$A42)^(5-1)*(1+'Table G'!$B$27)/(('Table G'!$B$18-'Table G'!$B$27)*(1+'Table G'!$B$18)^5),"")</f>
        <v>62546.768173999473</v>
      </c>
      <c r="G42" s="17">
        <f>IFERROR(('Table G'!$B$14+'Table G'!$B$15)/(1+'Table G'!$B$18)*IF(ABS(((1+$A42)/(1+'Table G'!$B$18))-1)&lt;0.000000001,10,(1-((1+$A42)/(1+'Table G'!$B$18))^10)/(1-((1+$A42)/(1+'Table G'!$B$18))))+('Table G'!$B$14+'Table G'!$B$15)*(1+$A42)^(10-1)*(1+'Table G'!$B$27)/(('Table G'!$B$18-'Table G'!$B$27)*(1+'Table G'!$B$18)^10),"")</f>
        <v>48069.635077647639</v>
      </c>
    </row>
    <row r="43" spans="1:7" x14ac:dyDescent="0.2">
      <c r="A43" s="8">
        <f>-0.1+39*$B$2</f>
        <v>-6.1000000000000006E-2</v>
      </c>
      <c r="B43" s="17">
        <f>IFERROR(('Table G'!$B$14+'Table G'!$B$15)/(1+'Table G'!$B$18)*IF(ABS(((1+$A43)/(1+'Table G'!$B$18))-1)&lt;0.000000001,5,(1-((1+$A43)/(1+'Table G'!$B$18))^5)/(1-((1+$A43)/(1+'Table G'!$B$18))))+('Table G'!$B$14+'Table G'!$B$15)*(1+$A43)^(5-1)*(1+'Table G'!$B$25)/(('Table G'!$B$18-'Table G'!$B$25)*(1+'Table G'!$B$18)^5),"")</f>
        <v>55644.145971881946</v>
      </c>
      <c r="C43" s="17">
        <f>IFERROR(('Table G'!$B$14+'Table G'!$B$15)/(1+'Table G'!$B$18)*IF(ABS(((1+$A43)/(1+'Table G'!$B$18))-1)&lt;0.000000001,10,(1-((1+$A43)/(1+'Table G'!$B$18))^10)/(1-((1+$A43)/(1+'Table G'!$B$18))))+('Table G'!$B$14+'Table G'!$B$15)*(1+$A43)^(10-1)*(1+'Table G'!$B$25)/(('Table G'!$B$18-'Table G'!$B$25)*(1+'Table G'!$B$18)^10),"")</f>
        <v>44843.628373913467</v>
      </c>
      <c r="D43" s="17">
        <f>IFERROR(('Table G'!$B$14+'Table G'!$B$15)/(1+'Table G'!$B$18)*IF(ABS(((1+$A43)/(1+'Table G'!$B$18))-1)&lt;0.000000001,5,(1-((1+$A43)/(1+'Table G'!$B$18))^5)/(1-((1+$A43)/(1+'Table G'!$B$18))))+('Table G'!$B$14+'Table G'!$B$15)*(1+$A43)^(5-1)*(1+'Table G'!$B$26)/(('Table G'!$B$18-'Table G'!$B$26)*(1+'Table G'!$B$18)^5),"")</f>
        <v>58922.688134449018</v>
      </c>
      <c r="E43" s="17">
        <f>IFERROR(('Table G'!$B$14+'Table G'!$B$15)/(1+'Table G'!$B$18)*IF(ABS(((1+$A43)/(1+'Table G'!$B$18))-1)&lt;0.000000001,10,(1-((1+$A43)/(1+'Table G'!$B$18))^10)/(1-((1+$A43)/(1+'Table G'!$B$18))))+('Table G'!$B$14+'Table G'!$B$15)*(1+$A43)^(10-1)*(1+'Table G'!$B$26)/(('Table G'!$B$18-'Table G'!$B$26)*(1+'Table G'!$B$18)^10),"")</f>
        <v>46469.163620119667</v>
      </c>
      <c r="F43" s="17">
        <f>IFERROR(('Table G'!$B$14+'Table G'!$B$15)/(1+'Table G'!$B$18)*IF(ABS(((1+$A43)/(1+'Table G'!$B$18))-1)&lt;0.000000001,5,(1-((1+$A43)/(1+'Table G'!$B$18))^5)/(1-((1+$A43)/(1+'Table G'!$B$18))))+('Table G'!$B$14+'Table G'!$B$15)*(1+$A43)^(5-1)*(1+'Table G'!$B$27)/(('Table G'!$B$18-'Table G'!$B$27)*(1+'Table G'!$B$18)^5),"")</f>
        <v>62771.962282459317</v>
      </c>
      <c r="G43" s="17">
        <f>IFERROR(('Table G'!$B$14+'Table G'!$B$15)/(1+'Table G'!$B$18)*IF(ABS(((1+$A43)/(1+'Table G'!$B$18))-1)&lt;0.000000001,10,(1-((1+$A43)/(1+'Table G'!$B$18))^10)/(1-((1+$A43)/(1+'Table G'!$B$18))))+('Table G'!$B$14+'Table G'!$B$15)*(1+$A43)^(10-1)*(1+'Table G'!$B$27)/(('Table G'!$B$18-'Table G'!$B$27)*(1+'Table G'!$B$18)^10),"")</f>
        <v>48377.673710775867</v>
      </c>
    </row>
    <row r="44" spans="1:7" x14ac:dyDescent="0.2">
      <c r="A44" s="8">
        <f>-0.1+40*$B$2</f>
        <v>-6.0000000000000005E-2</v>
      </c>
      <c r="B44" s="17">
        <f>IFERROR(('Table G'!$B$14+'Table G'!$B$15)/(1+'Table G'!$B$18)*IF(ABS(((1+$A44)/(1+'Table G'!$B$18))-1)&lt;0.000000001,5,(1-((1+$A44)/(1+'Table G'!$B$18))^5)/(1-((1+$A44)/(1+'Table G'!$B$18))))+('Table G'!$B$14+'Table G'!$B$15)*(1+$A44)^(5-1)*(1+'Table G'!$B$25)/(('Table G'!$B$18-'Table G'!$B$25)*(1+'Table G'!$B$18)^5),"")</f>
        <v>55839.610060107785</v>
      </c>
      <c r="C44" s="17">
        <f>IFERROR(('Table G'!$B$14+'Table G'!$B$15)/(1+'Table G'!$B$18)*IF(ABS(((1+$A44)/(1+'Table G'!$B$18))-1)&lt;0.000000001,10,(1-((1+$A44)/(1+'Table G'!$B$18))^10)/(1-((1+$A44)/(1+'Table G'!$B$18))))+('Table G'!$B$14+'Table G'!$B$15)*(1+$A44)^(10-1)*(1+'Table G'!$B$25)/(('Table G'!$B$18-'Table G'!$B$25)*(1+'Table G'!$B$18)^10),"")</f>
        <v>45119.947146302817</v>
      </c>
      <c r="D44" s="17">
        <f>IFERROR(('Table G'!$B$14+'Table G'!$B$15)/(1+'Table G'!$B$18)*IF(ABS(((1+$A44)/(1+'Table G'!$B$18))-1)&lt;0.000000001,5,(1-((1+$A44)/(1+'Table G'!$B$18))^5)/(1-((1+$A44)/(1+'Table G'!$B$18))))+('Table G'!$B$14+'Table G'!$B$15)*(1+$A44)^(5-1)*(1+'Table G'!$B$26)/(('Table G'!$B$18-'Table G'!$B$26)*(1+'Table G'!$B$18)^5),"")</f>
        <v>59132.140649382847</v>
      </c>
      <c r="E44" s="17">
        <f>IFERROR(('Table G'!$B$14+'Table G'!$B$15)/(1+'Table G'!$B$18)*IF(ABS(((1+$A44)/(1+'Table G'!$B$18))-1)&lt;0.000000001,10,(1-((1+$A44)/(1+'Table G'!$B$18))^10)/(1-((1+$A44)/(1+'Table G'!$B$18))))+('Table G'!$B$14+'Table G'!$B$15)*(1+$A44)^(10-1)*(1+'Table G'!$B$26)/(('Table G'!$B$18-'Table G'!$B$26)*(1+'Table G'!$B$18)^10),"")</f>
        <v>46761.129137094191</v>
      </c>
      <c r="F44" s="17">
        <f>IFERROR(('Table G'!$B$14+'Table G'!$B$15)/(1+'Table G'!$B$18)*IF(ABS(((1+$A44)/(1+'Table G'!$B$18))-1)&lt;0.000000001,5,(1-((1+$A44)/(1+'Table G'!$B$18))^5)/(1-((1+$A44)/(1+'Table G'!$B$18))))+('Table G'!$B$14+'Table G'!$B$15)*(1+$A44)^(5-1)*(1+'Table G'!$B$27)/(('Table G'!$B$18-'Table G'!$B$27)*(1+'Table G'!$B$18)^5),"")</f>
        <v>62997.838343783114</v>
      </c>
      <c r="G44" s="17">
        <f>IFERROR(('Table G'!$B$14+'Table G'!$B$15)/(1+'Table G'!$B$18)*IF(ABS(((1+$A44)/(1+'Table G'!$B$18))-1)&lt;0.000000001,10,(1-((1+$A44)/(1+'Table G'!$B$18))^10)/(1-((1+$A44)/(1+'Table G'!$B$18))))+('Table G'!$B$14+'Table G'!$B$15)*(1+$A44)^(10-1)*(1+'Table G'!$B$27)/(('Table G'!$B$18-'Table G'!$B$27)*(1+'Table G'!$B$18)^10),"")</f>
        <v>48688.00977369606</v>
      </c>
    </row>
    <row r="45" spans="1:7" x14ac:dyDescent="0.2">
      <c r="A45" s="8">
        <f>-0.1+41*$B$2</f>
        <v>-5.9000000000000004E-2</v>
      </c>
      <c r="B45" s="17">
        <f>IFERROR(('Table G'!$B$14+'Table G'!$B$15)/(1+'Table G'!$B$18)*IF(ABS(((1+$A45)/(1+'Table G'!$B$18))-1)&lt;0.000000001,5,(1-((1+$A45)/(1+'Table G'!$B$18))^5)/(1-((1+$A45)/(1+'Table G'!$B$18))))+('Table G'!$B$14+'Table G'!$B$15)*(1+$A45)^(5-1)*(1+'Table G'!$B$25)/(('Table G'!$B$18-'Table G'!$B$25)*(1+'Table G'!$B$18)^5),"")</f>
        <v>56035.660302259974</v>
      </c>
      <c r="C45" s="17">
        <f>IFERROR(('Table G'!$B$14+'Table G'!$B$15)/(1+'Table G'!$B$18)*IF(ABS(((1+$A45)/(1+'Table G'!$B$18))-1)&lt;0.000000001,10,(1-((1+$A45)/(1+'Table G'!$B$18))^10)/(1-((1+$A45)/(1+'Table G'!$B$18))))+('Table G'!$B$14+'Table G'!$B$15)*(1+$A45)^(10-1)*(1+'Table G'!$B$25)/(('Table G'!$B$18-'Table G'!$B$25)*(1+'Table G'!$B$18)^10),"")</f>
        <v>45398.288716973715</v>
      </c>
      <c r="D45" s="17">
        <f>IFERROR(('Table G'!$B$14+'Table G'!$B$15)/(1+'Table G'!$B$18)*IF(ABS(((1+$A45)/(1+'Table G'!$B$18))-1)&lt;0.000000001,5,(1-((1+$A45)/(1+'Table G'!$B$18))^5)/(1-((1+$A45)/(1+'Table G'!$B$18))))+('Table G'!$B$14+'Table G'!$B$15)*(1+$A45)^(5-1)*(1+'Table G'!$B$26)/(('Table G'!$B$18-'Table G'!$B$26)*(1+'Table G'!$B$18)^5),"")</f>
        <v>59342.22403346996</v>
      </c>
      <c r="E45" s="17">
        <f>IFERROR(('Table G'!$B$14+'Table G'!$B$15)/(1+'Table G'!$B$18)*IF(ABS(((1+$A45)/(1+'Table G'!$B$18))-1)&lt;0.000000001,10,(1-((1+$A45)/(1+'Table G'!$B$18))^10)/(1-((1+$A45)/(1+'Table G'!$B$18))))+('Table G'!$B$14+'Table G'!$B$15)*(1+$A45)^(10-1)*(1+'Table G'!$B$26)/(('Table G'!$B$18-'Table G'!$B$26)*(1+'Table G'!$B$18)^10),"")</f>
        <v>47055.25118432333</v>
      </c>
      <c r="F45" s="17">
        <f>IFERROR(('Table G'!$B$14+'Table G'!$B$15)/(1+'Table G'!$B$18)*IF(ABS(((1+$A45)/(1+'Table G'!$B$18))-1)&lt;0.000000001,5,(1-((1+$A45)/(1+'Table G'!$B$18))^5)/(1-((1+$A45)/(1+'Table G'!$B$18))))+('Table G'!$B$14+'Table G'!$B$15)*(1+$A45)^(5-1)*(1+'Table G'!$B$27)/(('Table G'!$B$18-'Table G'!$B$27)*(1+'Table G'!$B$18)^5),"")</f>
        <v>63224.397773559758</v>
      </c>
      <c r="G45" s="17">
        <f>IFERROR(('Table G'!$B$14+'Table G'!$B$15)/(1+'Table G'!$B$18)*IF(ABS(((1+$A45)/(1+'Table G'!$B$18))-1)&lt;0.000000001,10,(1-((1+$A45)/(1+'Table G'!$B$18))^10)/(1-((1+$A45)/(1+'Table G'!$B$18))))+('Table G'!$B$14+'Table G'!$B$15)*(1+$A45)^(10-1)*(1+'Table G'!$B$27)/(('Table G'!$B$18-'Table G'!$B$27)*(1+'Table G'!$B$18)^10),"")</f>
        <v>49000.659379043085</v>
      </c>
    </row>
    <row r="46" spans="1:7" x14ac:dyDescent="0.2">
      <c r="A46" s="8">
        <f>-0.1+42*$B$2</f>
        <v>-5.8000000000000003E-2</v>
      </c>
      <c r="B46" s="17">
        <f>IFERROR(('Table G'!$B$14+'Table G'!$B$15)/(1+'Table G'!$B$18)*IF(ABS(((1+$A46)/(1+'Table G'!$B$18))-1)&lt;0.000000001,5,(1-((1+$A46)/(1+'Table G'!$B$18))^5)/(1-((1+$A46)/(1+'Table G'!$B$18))))+('Table G'!$B$14+'Table G'!$B$15)*(1+$A46)^(5-1)*(1+'Table G'!$B$25)/(('Table G'!$B$18-'Table G'!$B$25)*(1+'Table G'!$B$18)^5),"")</f>
        <v>56232.297908462133</v>
      </c>
      <c r="C46" s="17">
        <f>IFERROR(('Table G'!$B$14+'Table G'!$B$15)/(1+'Table G'!$B$18)*IF(ABS(((1+$A46)/(1+'Table G'!$B$18))-1)&lt;0.000000001,10,(1-((1+$A46)/(1+'Table G'!$B$18))^10)/(1-((1+$A46)/(1+'Table G'!$B$18))))+('Table G'!$B$14+'Table G'!$B$15)*(1+$A46)^(10-1)*(1+'Table G'!$B$25)/(('Table G'!$B$18-'Table G'!$B$25)*(1+'Table G'!$B$18)^10),"")</f>
        <v>45678.667126034001</v>
      </c>
      <c r="D46" s="17">
        <f>IFERROR(('Table G'!$B$14+'Table G'!$B$15)/(1+'Table G'!$B$18)*IF(ABS(((1+$A46)/(1+'Table G'!$B$18))-1)&lt;0.000000001,5,(1-((1+$A46)/(1+'Table G'!$B$18))^5)/(1-((1+$A46)/(1+'Table G'!$B$18))))+('Table G'!$B$14+'Table G'!$B$15)*(1+$A46)^(5-1)*(1+'Table G'!$B$26)/(('Table G'!$B$18-'Table G'!$B$26)*(1+'Table G'!$B$18)^5),"")</f>
        <v>59552.93959202338</v>
      </c>
      <c r="E46" s="17">
        <f>IFERROR(('Table G'!$B$14+'Table G'!$B$15)/(1+'Table G'!$B$18)*IF(ABS(((1+$A46)/(1+'Table G'!$B$18))-1)&lt;0.000000001,10,(1-((1+$A46)/(1+'Table G'!$B$18))^10)/(1-((1+$A46)/(1+'Table G'!$B$18))))+('Table G'!$B$14+'Table G'!$B$15)*(1+$A46)^(10-1)*(1+'Table G'!$B$26)/(('Table G'!$B$18-'Table G'!$B$26)*(1+'Table G'!$B$18)^10),"")</f>
        <v>47351.544800974145</v>
      </c>
      <c r="F46" s="17">
        <f>IFERROR(('Table G'!$B$14+'Table G'!$B$15)/(1+'Table G'!$B$18)*IF(ABS(((1+$A46)/(1+'Table G'!$B$18))-1)&lt;0.000000001,5,(1-((1+$A46)/(1+'Table G'!$B$18))^5)/(1-((1+$A46)/(1+'Table G'!$B$18))))+('Table G'!$B$14+'Table G'!$B$15)*(1+$A46)^(5-1)*(1+'Table G'!$B$27)/(('Table G'!$B$18-'Table G'!$B$27)*(1+'Table G'!$B$18)^5),"")</f>
        <v>63451.641988862277</v>
      </c>
      <c r="G46" s="17">
        <f>IFERROR(('Table G'!$B$14+'Table G'!$B$15)/(1+'Table G'!$B$18)*IF(ABS(((1+$A46)/(1+'Table G'!$B$18))-1)&lt;0.000000001,10,(1-((1+$A46)/(1+'Table G'!$B$18))^10)/(1-((1+$A46)/(1+'Table G'!$B$18))))+('Table G'!$B$14+'Table G'!$B$15)*(1+$A46)^(10-1)*(1+'Table G'!$B$27)/(('Table G'!$B$18-'Table G'!$B$27)*(1+'Table G'!$B$18)^10),"")</f>
        <v>49315.638738960501</v>
      </c>
    </row>
    <row r="47" spans="1:7" x14ac:dyDescent="0.2">
      <c r="A47" s="8">
        <f>-0.1+43*$B$2</f>
        <v>-5.7000000000000002E-2</v>
      </c>
      <c r="B47" s="17">
        <f>IFERROR(('Table G'!$B$14+'Table G'!$B$15)/(1+'Table G'!$B$18)*IF(ABS(((1+$A47)/(1+'Table G'!$B$18))-1)&lt;0.000000001,5,(1-((1+$A47)/(1+'Table G'!$B$18))^5)/(1-((1+$A47)/(1+'Table G'!$B$18))))+('Table G'!$B$14+'Table G'!$B$15)*(1+$A47)^(5-1)*(1+'Table G'!$B$25)/(('Table G'!$B$18-'Table G'!$B$25)*(1+'Table G'!$B$18)^5),"")</f>
        <v>56429.524090101855</v>
      </c>
      <c r="C47" s="17">
        <f>IFERROR(('Table G'!$B$14+'Table G'!$B$15)/(1+'Table G'!$B$18)*IF(ABS(((1+$A47)/(1+'Table G'!$B$18))-1)&lt;0.000000001,10,(1-((1+$A47)/(1+'Table G'!$B$18))^10)/(1-((1+$A47)/(1+'Table G'!$B$18))))+('Table G'!$B$14+'Table G'!$B$15)*(1+$A47)^(10-1)*(1+'Table G'!$B$25)/(('Table G'!$B$18-'Table G'!$B$25)*(1+'Table G'!$B$18)^10),"")</f>
        <v>45961.096499724925</v>
      </c>
      <c r="D47" s="17">
        <f>IFERROR(('Table G'!$B$14+'Table G'!$B$15)/(1+'Table G'!$B$18)*IF(ABS(((1+$A47)/(1+'Table G'!$B$18))-1)&lt;0.000000001,5,(1-((1+$A47)/(1+'Table G'!$B$18))^5)/(1-((1+$A47)/(1+'Table G'!$B$18))))+('Table G'!$B$14+'Table G'!$B$15)*(1+$A47)^(5-1)*(1+'Table G'!$B$26)/(('Table G'!$B$18-'Table G'!$B$26)*(1+'Table G'!$B$18)^5),"")</f>
        <v>59764.288631721225</v>
      </c>
      <c r="E47" s="17">
        <f>IFERROR(('Table G'!$B$14+'Table G'!$B$15)/(1+'Table G'!$B$18)*IF(ABS(((1+$A47)/(1+'Table G'!$B$18))-1)&lt;0.000000001,10,(1-((1+$A47)/(1+'Table G'!$B$18))^10)/(1-((1+$A47)/(1+'Table G'!$B$18))))+('Table G'!$B$14+'Table G'!$B$15)*(1+$A47)^(10-1)*(1+'Table G'!$B$26)/(('Table G'!$B$18-'Table G'!$B$26)*(1+'Table G'!$B$18)^10),"")</f>
        <v>47650.025118737671</v>
      </c>
      <c r="F47" s="17">
        <f>IFERROR(('Table G'!$B$14+'Table G'!$B$15)/(1+'Table G'!$B$18)*IF(ABS(((1+$A47)/(1+'Table G'!$B$18))-1)&lt;0.000000001,5,(1-((1+$A47)/(1+'Table G'!$B$18))^5)/(1-((1+$A47)/(1+'Table G'!$B$18))))+('Table G'!$B$14+'Table G'!$B$15)*(1+$A47)^(5-1)*(1+'Table G'!$B$27)/(('Table G'!$B$18-'Table G'!$B$27)*(1+'Table G'!$B$18)^5),"")</f>
        <v>63679.572408247666</v>
      </c>
      <c r="G47" s="17">
        <f>IFERROR(('Table G'!$B$14+'Table G'!$B$15)/(1+'Table G'!$B$18)*IF(ABS(((1+$A47)/(1+'Table G'!$B$18))-1)&lt;0.000000001,10,(1-((1+$A47)/(1+'Table G'!$B$18))^10)/(1-((1+$A47)/(1+'Table G'!$B$18))))+('Table G'!$B$14+'Table G'!$B$15)*(1+$A47)^(10-1)*(1+'Table G'!$B$27)/(('Table G'!$B$18-'Table G'!$B$27)*(1+'Table G'!$B$18)^10),"")</f>
        <v>49632.964165618832</v>
      </c>
    </row>
    <row r="48" spans="1:7" x14ac:dyDescent="0.2">
      <c r="A48" s="8">
        <f>-0.1+44*$B$2</f>
        <v>-5.6000000000000008E-2</v>
      </c>
      <c r="B48" s="17">
        <f>IFERROR(('Table G'!$B$14+'Table G'!$B$15)/(1+'Table G'!$B$18)*IF(ABS(((1+$A48)/(1+'Table G'!$B$18))-1)&lt;0.000000001,5,(1-((1+$A48)/(1+'Table G'!$B$18))^5)/(1-((1+$A48)/(1+'Table G'!$B$18))))+('Table G'!$B$14+'Table G'!$B$15)*(1+$A48)^(5-1)*(1+'Table G'!$B$25)/(('Table G'!$B$18-'Table G'!$B$25)*(1+'Table G'!$B$18)^5),"")</f>
        <v>56627.340059830742</v>
      </c>
      <c r="C48" s="17">
        <f>IFERROR(('Table G'!$B$14+'Table G'!$B$15)/(1+'Table G'!$B$18)*IF(ABS(((1+$A48)/(1+'Table G'!$B$18))-1)&lt;0.000000001,10,(1-((1+$A48)/(1+'Table G'!$B$18))^10)/(1-((1+$A48)/(1+'Table G'!$B$18))))+('Table G'!$B$14+'Table G'!$B$15)*(1+$A48)^(10-1)*(1+'Table G'!$B$25)/(('Table G'!$B$18-'Table G'!$B$25)*(1+'Table G'!$B$18)^10),"")</f>
        <v>46245.591050867886</v>
      </c>
      <c r="D48" s="17">
        <f>IFERROR(('Table G'!$B$14+'Table G'!$B$15)/(1+'Table G'!$B$18)*IF(ABS(((1+$A48)/(1+'Table G'!$B$18))-1)&lt;0.000000001,5,(1-((1+$A48)/(1+'Table G'!$B$18))^5)/(1-((1+$A48)/(1+'Table G'!$B$18))))+('Table G'!$B$14+'Table G'!$B$15)*(1+$A48)^(5-1)*(1+'Table G'!$B$26)/(('Table G'!$B$18-'Table G'!$B$26)*(1+'Table G'!$B$18)^5),"")</f>
        <v>59976.27246060691</v>
      </c>
      <c r="E48" s="17">
        <f>IFERROR(('Table G'!$B$14+'Table G'!$B$15)/(1+'Table G'!$B$18)*IF(ABS(((1+$A48)/(1+'Table G'!$B$18))-1)&lt;0.000000001,10,(1-((1+$A48)/(1+'Table G'!$B$18))^10)/(1-((1+$A48)/(1+'Table G'!$B$18))))+('Table G'!$B$14+'Table G'!$B$15)*(1+$A48)^(10-1)*(1+'Table G'!$B$26)/(('Table G'!$B$18-'Table G'!$B$26)*(1+'Table G'!$B$18)^10),"")</f>
        <v>47950.707362309637</v>
      </c>
      <c r="F48" s="17">
        <f>IFERROR(('Table G'!$B$14+'Table G'!$B$15)/(1+'Table G'!$B$18)*IF(ABS(((1+$A48)/(1+'Table G'!$B$18))-1)&lt;0.000000001,5,(1-((1+$A48)/(1+'Table G'!$B$18))^5)/(1-((1+$A48)/(1+'Table G'!$B$18))))+('Table G'!$B$14+'Table G'!$B$15)*(1+$A48)^(5-1)*(1+'Table G'!$B$27)/(('Table G'!$B$18-'Table G'!$B$27)*(1+'Table G'!$B$18)^5),"")</f>
        <v>63908.190451757044</v>
      </c>
      <c r="G48" s="17">
        <f>IFERROR(('Table G'!$B$14+'Table G'!$B$15)/(1+'Table G'!$B$18)*IF(ABS(((1+$A48)/(1+'Table G'!$B$18))-1)&lt;0.000000001,10,(1-((1+$A48)/(1+'Table G'!$B$18))^10)/(1-((1+$A48)/(1+'Table G'!$B$18))))+('Table G'!$B$14+'Table G'!$B$15)*(1+$A48)^(10-1)*(1+'Table G'!$B$27)/(('Table G'!$B$18-'Table G'!$B$27)*(1+'Table G'!$B$18)^10),"")</f>
        <v>49952.652071736287</v>
      </c>
    </row>
    <row r="49" spans="1:7" x14ac:dyDescent="0.2">
      <c r="A49" s="8">
        <f>-0.1+45*$B$2</f>
        <v>-5.5000000000000007E-2</v>
      </c>
      <c r="B49" s="17">
        <f>IFERROR(('Table G'!$B$14+'Table G'!$B$15)/(1+'Table G'!$B$18)*IF(ABS(((1+$A49)/(1+'Table G'!$B$18))-1)&lt;0.000000001,5,(1-((1+$A49)/(1+'Table G'!$B$18))^5)/(1-((1+$A49)/(1+'Table G'!$B$18))))+('Table G'!$B$14+'Table G'!$B$15)*(1+$A49)^(5-1)*(1+'Table G'!$B$25)/(('Table G'!$B$18-'Table G'!$B$25)*(1+'Table G'!$B$18)^5),"")</f>
        <v>56825.747031564431</v>
      </c>
      <c r="C49" s="17">
        <f>IFERROR(('Table G'!$B$14+'Table G'!$B$15)/(1+'Table G'!$B$18)*IF(ABS(((1+$A49)/(1+'Table G'!$B$18))-1)&lt;0.000000001,10,(1-((1+$A49)/(1+'Table G'!$B$18))^10)/(1-((1+$A49)/(1+'Table G'!$B$18))))+('Table G'!$B$14+'Table G'!$B$15)*(1+$A49)^(10-1)*(1+'Table G'!$B$25)/(('Table G'!$B$18-'Table G'!$B$25)*(1+'Table G'!$B$18)^10),"")</f>
        <v>46532.165079312828</v>
      </c>
      <c r="D49" s="17">
        <f>IFERROR(('Table G'!$B$14+'Table G'!$B$15)/(1+'Table G'!$B$18)*IF(ABS(((1+$A49)/(1+'Table G'!$B$18))-1)&lt;0.000000001,5,(1-((1+$A49)/(1+'Table G'!$B$18))^5)/(1-((1+$A49)/(1+'Table G'!$B$18))))+('Table G'!$B$14+'Table G'!$B$15)*(1+$A49)^(5-1)*(1+'Table G'!$B$26)/(('Table G'!$B$18-'Table G'!$B$26)*(1+'Table G'!$B$18)^5),"")</f>
        <v>60188.892388089094</v>
      </c>
      <c r="E49" s="17">
        <f>IFERROR(('Table G'!$B$14+'Table G'!$B$15)/(1+'Table G'!$B$18)*IF(ABS(((1+$A49)/(1+'Table G'!$B$18))-1)&lt;0.000000001,10,(1-((1+$A49)/(1+'Table G'!$B$18))^10)/(1-((1+$A49)/(1+'Table G'!$B$18))))+('Table G'!$B$14+'Table G'!$B$15)*(1+$A49)^(10-1)*(1+'Table G'!$B$26)/(('Table G'!$B$18-'Table G'!$B$26)*(1+'Table G'!$B$18)^10),"")</f>
        <v>48253.606849873067</v>
      </c>
      <c r="F49" s="17">
        <f>IFERROR(('Table G'!$B$14+'Table G'!$B$15)/(1+'Table G'!$B$18)*IF(ABS(((1+$A49)/(1+'Table G'!$B$18))-1)&lt;0.000000001,5,(1-((1+$A49)/(1+'Table G'!$B$18))^5)/(1-((1+$A49)/(1+'Table G'!$B$18))))+('Table G'!$B$14+'Table G'!$B$15)*(1+$A49)^(5-1)*(1+'Table G'!$B$27)/(('Table G'!$B$18-'Table G'!$B$27)*(1+'Table G'!$B$18)^5),"")</f>
        <v>64137.497540915574</v>
      </c>
      <c r="G49" s="17">
        <f>IFERROR(('Table G'!$B$14+'Table G'!$B$15)/(1+'Table G'!$B$18)*IF(ABS(((1+$A49)/(1+'Table G'!$B$18))-1)&lt;0.000000001,10,(1-((1+$A49)/(1+'Table G'!$B$18))^10)/(1-((1+$A49)/(1+'Table G'!$B$18))))+('Table G'!$B$14+'Table G'!$B$15)*(1+$A49)^(10-1)*(1+'Table G'!$B$27)/(('Table G'!$B$18-'Table G'!$B$27)*(1+'Table G'!$B$18)^10),"")</f>
        <v>50274.718971101443</v>
      </c>
    </row>
    <row r="50" spans="1:7" x14ac:dyDescent="0.2">
      <c r="A50" s="8">
        <f>-0.1+46*$B$2</f>
        <v>-5.4000000000000006E-2</v>
      </c>
      <c r="B50" s="17">
        <f>IFERROR(('Table G'!$B$14+'Table G'!$B$15)/(1+'Table G'!$B$18)*IF(ABS(((1+$A50)/(1+'Table G'!$B$18))-1)&lt;0.000000001,5,(1-((1+$A50)/(1+'Table G'!$B$18))^5)/(1-((1+$A50)/(1+'Table G'!$B$18))))+('Table G'!$B$14+'Table G'!$B$15)*(1+$A50)^(5-1)*(1+'Table G'!$B$25)/(('Table G'!$B$18-'Table G'!$B$25)*(1+'Table G'!$B$18)^5),"")</f>
        <v>57024.746220482586</v>
      </c>
      <c r="C50" s="17">
        <f>IFERROR(('Table G'!$B$14+'Table G'!$B$15)/(1+'Table G'!$B$18)*IF(ABS(((1+$A50)/(1+'Table G'!$B$18))-1)&lt;0.000000001,10,(1-((1+$A50)/(1+'Table G'!$B$18))^10)/(1-((1+$A50)/(1+'Table G'!$B$18))))+('Table G'!$B$14+'Table G'!$B$15)*(1+$A50)^(10-1)*(1+'Table G'!$B$25)/(('Table G'!$B$18-'Table G'!$B$25)*(1+'Table G'!$B$18)^10),"")</f>
        <v>46820.832972388554</v>
      </c>
      <c r="D50" s="17">
        <f>IFERROR(('Table G'!$B$14+'Table G'!$B$15)/(1+'Table G'!$B$18)*IF(ABS(((1+$A50)/(1+'Table G'!$B$18))-1)&lt;0.000000001,5,(1-((1+$A50)/(1+'Table G'!$B$18))^5)/(1-((1+$A50)/(1+'Table G'!$B$18))))+('Table G'!$B$14+'Table G'!$B$15)*(1+$A50)^(5-1)*(1+'Table G'!$B$26)/(('Table G'!$B$18-'Table G'!$B$26)*(1+'Table G'!$B$18)^5),"")</f>
        <v>60402.149724941628</v>
      </c>
      <c r="E50" s="17">
        <f>IFERROR(('Table G'!$B$14+'Table G'!$B$15)/(1+'Table G'!$B$18)*IF(ABS(((1+$A50)/(1+'Table G'!$B$18))-1)&lt;0.000000001,10,(1-((1+$A50)/(1+'Table G'!$B$18))^10)/(1-((1+$A50)/(1+'Table G'!$B$18))))+('Table G'!$B$14+'Table G'!$B$15)*(1+$A50)^(10-1)*(1+'Table G'!$B$26)/(('Table G'!$B$18-'Table G'!$B$26)*(1+'Table G'!$B$18)^10),"")</f>
        <v>48558.738993582927</v>
      </c>
      <c r="F50" s="17">
        <f>IFERROR(('Table G'!$B$14+'Table G'!$B$15)/(1+'Table G'!$B$18)*IF(ABS(((1+$A50)/(1+'Table G'!$B$18))-1)&lt;0.000000001,5,(1-((1+$A50)/(1+'Table G'!$B$18))^5)/(1-((1+$A50)/(1+'Table G'!$B$18))))+('Table G'!$B$14+'Table G'!$B$15)*(1+$A50)^(5-1)*(1+'Table G'!$B$27)/(('Table G'!$B$18-'Table G'!$B$27)*(1+'Table G'!$B$18)^5),"")</f>
        <v>64367.49509873247</v>
      </c>
      <c r="G50" s="17">
        <f>IFERROR(('Table G'!$B$14+'Table G'!$B$15)/(1+'Table G'!$B$18)*IF(ABS(((1+$A50)/(1+'Table G'!$B$18))-1)&lt;0.000000001,10,(1-((1+$A50)/(1+'Table G'!$B$18))^10)/(1-((1+$A50)/(1+'Table G'!$B$18))))+('Table G'!$B$14+'Table G'!$B$15)*(1+$A50)^(10-1)*(1+'Table G'!$B$27)/(('Table G'!$B$18-'Table G'!$B$27)*(1+'Table G'!$B$18)^10),"")</f>
        <v>50599.181479098181</v>
      </c>
    </row>
    <row r="51" spans="1:7" x14ac:dyDescent="0.2">
      <c r="A51" s="8">
        <f>-0.1+47*$B$2</f>
        <v>-5.3000000000000005E-2</v>
      </c>
      <c r="B51" s="17">
        <f>IFERROR(('Table G'!$B$14+'Table G'!$B$15)/(1+'Table G'!$B$18)*IF(ABS(((1+$A51)/(1+'Table G'!$B$18))-1)&lt;0.000000001,5,(1-((1+$A51)/(1+'Table G'!$B$18))^5)/(1-((1+$A51)/(1+'Table G'!$B$18))))+('Table G'!$B$14+'Table G'!$B$15)*(1+$A51)^(5-1)*(1+'Table G'!$B$25)/(('Table G'!$B$18-'Table G'!$B$25)*(1+'Table G'!$B$18)^5),"")</f>
        <v>57224.338843028876</v>
      </c>
      <c r="C51" s="17">
        <f>IFERROR(('Table G'!$B$14+'Table G'!$B$15)/(1+'Table G'!$B$18)*IF(ABS(((1+$A51)/(1+'Table G'!$B$18))-1)&lt;0.000000001,10,(1-((1+$A51)/(1+'Table G'!$B$18))^10)/(1-((1+$A51)/(1+'Table G'!$B$18))))+('Table G'!$B$14+'Table G'!$B$15)*(1+$A51)^(10-1)*(1+'Table G'!$B$25)/(('Table G'!$B$18-'Table G'!$B$25)*(1+'Table G'!$B$18)^10),"")</f>
        <v>47111.609205355053</v>
      </c>
      <c r="D51" s="17">
        <f>IFERROR(('Table G'!$B$14+'Table G'!$B$15)/(1+'Table G'!$B$18)*IF(ABS(((1+$A51)/(1+'Table G'!$B$18))-1)&lt;0.000000001,5,(1-((1+$A51)/(1+'Table G'!$B$18))^5)/(1-((1+$A51)/(1+'Table G'!$B$18))))+('Table G'!$B$14+'Table G'!$B$15)*(1+$A51)^(5-1)*(1+'Table G'!$B$26)/(('Table G'!$B$18-'Table G'!$B$26)*(1+'Table G'!$B$18)^5),"")</f>
        <v>60616.045783303634</v>
      </c>
      <c r="E51" s="17">
        <f>IFERROR(('Table G'!$B$14+'Table G'!$B$15)/(1+'Table G'!$B$18)*IF(ABS(((1+$A51)/(1+'Table G'!$B$18))-1)&lt;0.000000001,10,(1-((1+$A51)/(1+'Table G'!$B$18))^10)/(1-((1+$A51)/(1+'Table G'!$B$18))))+('Table G'!$B$14+'Table G'!$B$15)*(1+$A51)^(10-1)*(1+'Table G'!$B$26)/(('Table G'!$B$18-'Table G'!$B$26)*(1+'Table G'!$B$18)^10),"")</f>
        <v>48866.119300052858</v>
      </c>
      <c r="F51" s="17">
        <f>IFERROR(('Table G'!$B$14+'Table G'!$B$15)/(1+'Table G'!$B$18)*IF(ABS(((1+$A51)/(1+'Table G'!$B$18))-1)&lt;0.000000001,5,(1-((1+$A51)/(1+'Table G'!$B$18))^5)/(1-((1+$A51)/(1+'Table G'!$B$18))))+('Table G'!$B$14+'Table G'!$B$15)*(1+$A51)^(5-1)*(1+'Table G'!$B$27)/(('Table G'!$B$18-'Table G'!$B$27)*(1+'Table G'!$B$18)^5),"")</f>
        <v>64598.184549701022</v>
      </c>
      <c r="G51" s="17">
        <f>IFERROR(('Table G'!$B$14+'Table G'!$B$15)/(1+'Table G'!$B$18)*IF(ABS(((1+$A51)/(1+'Table G'!$B$18))-1)&lt;0.000000001,10,(1-((1+$A51)/(1+'Table G'!$B$18))^10)/(1-((1+$A51)/(1+'Table G'!$B$18))))+('Table G'!$B$14+'Table G'!$B$15)*(1+$A51)^(10-1)*(1+'Table G'!$B$27)/(('Table G'!$B$18-'Table G'!$B$27)*(1+'Table G'!$B$18)^10),"")</f>
        <v>50926.056313232926</v>
      </c>
    </row>
    <row r="52" spans="1:7" x14ac:dyDescent="0.2">
      <c r="A52" s="8">
        <f>-0.1+48*$B$2</f>
        <v>-5.2000000000000005E-2</v>
      </c>
      <c r="B52" s="17">
        <f>IFERROR(('Table G'!$B$14+'Table G'!$B$15)/(1+'Table G'!$B$18)*IF(ABS(((1+$A52)/(1+'Table G'!$B$18))-1)&lt;0.000000001,5,(1-((1+$A52)/(1+'Table G'!$B$18))^5)/(1-((1+$A52)/(1+'Table G'!$B$18))))+('Table G'!$B$14+'Table G'!$B$15)*(1+$A52)^(5-1)*(1+'Table G'!$B$25)/(('Table G'!$B$18-'Table G'!$B$25)*(1+'Table G'!$B$18)^5),"")</f>
        <v>57424.526116911024</v>
      </c>
      <c r="C52" s="17">
        <f>IFERROR(('Table G'!$B$14+'Table G'!$B$15)/(1+'Table G'!$B$18)*IF(ABS(((1+$A52)/(1+'Table G'!$B$18))-1)&lt;0.000000001,10,(1-((1+$A52)/(1+'Table G'!$B$18))^10)/(1-((1+$A52)/(1+'Table G'!$B$18))))+('Table G'!$B$14+'Table G'!$B$15)*(1+$A52)^(10-1)*(1+'Table G'!$B$25)/(('Table G'!$B$18-'Table G'!$B$25)*(1+'Table G'!$B$18)^10),"")</f>
        <v>47404.508341857538</v>
      </c>
      <c r="D52" s="17">
        <f>IFERROR(('Table G'!$B$14+'Table G'!$B$15)/(1+'Table G'!$B$18)*IF(ABS(((1+$A52)/(1+'Table G'!$B$18))-1)&lt;0.000000001,5,(1-((1+$A52)/(1+'Table G'!$B$18))^5)/(1-((1+$A52)/(1+'Table G'!$B$18))))+('Table G'!$B$14+'Table G'!$B$15)*(1+$A52)^(5-1)*(1+'Table G'!$B$26)/(('Table G'!$B$18-'Table G'!$B$26)*(1+'Table G'!$B$18)^5),"")</f>
        <v>60830.58187667944</v>
      </c>
      <c r="E52" s="17">
        <f>IFERROR(('Table G'!$B$14+'Table G'!$B$15)/(1+'Table G'!$B$18)*IF(ABS(((1+$A52)/(1+'Table G'!$B$18))-1)&lt;0.000000001,10,(1-((1+$A52)/(1+'Table G'!$B$18))^10)/(1-((1+$A52)/(1+'Table G'!$B$18))))+('Table G'!$B$14+'Table G'!$B$15)*(1+$A52)^(10-1)*(1+'Table G'!$B$26)/(('Table G'!$B$18-'Table G'!$B$26)*(1+'Table G'!$B$18)^10),"")</f>
        <v>49175.763370843873</v>
      </c>
      <c r="F52" s="17">
        <f>IFERROR(('Table G'!$B$14+'Table G'!$B$15)/(1+'Table G'!$B$18)*IF(ABS(((1+$A52)/(1+'Table G'!$B$18))-1)&lt;0.000000001,5,(1-((1+$A52)/(1+'Table G'!$B$18))^5)/(1-((1+$A52)/(1+'Table G'!$B$18))))+('Table G'!$B$14+'Table G'!$B$15)*(1+$A52)^(5-1)*(1+'Table G'!$B$27)/(('Table G'!$B$18-'Table G'!$B$27)*(1+'Table G'!$B$18)^5),"")</f>
        <v>64829.567319798589</v>
      </c>
      <c r="G52" s="17">
        <f>IFERROR(('Table G'!$B$14+'Table G'!$B$15)/(1+'Table G'!$B$18)*IF(ABS(((1+$A52)/(1+'Table G'!$B$18))-1)&lt;0.000000001,10,(1-((1+$A52)/(1+'Table G'!$B$18))^10)/(1-((1+$A52)/(1+'Table G'!$B$18))))+('Table G'!$B$14+'Table G'!$B$15)*(1+$A52)^(10-1)*(1+'Table G'!$B$27)/(('Table G'!$B$18-'Table G'!$B$27)*(1+'Table G'!$B$18)^10),"")</f>
        <v>51255.360293663936</v>
      </c>
    </row>
    <row r="53" spans="1:7" x14ac:dyDescent="0.2">
      <c r="A53" s="8">
        <f>-0.1+49*$B$2</f>
        <v>-5.1000000000000004E-2</v>
      </c>
      <c r="B53" s="17">
        <f>IFERROR(('Table G'!$B$14+'Table G'!$B$15)/(1+'Table G'!$B$18)*IF(ABS(((1+$A53)/(1+'Table G'!$B$18))-1)&lt;0.000000001,5,(1-((1+$A53)/(1+'Table G'!$B$18))^5)/(1-((1+$A53)/(1+'Table G'!$B$18))))+('Table G'!$B$14+'Table G'!$B$15)*(1+$A53)^(5-1)*(1+'Table G'!$B$25)/(('Table G'!$B$18-'Table G'!$B$25)*(1+'Table G'!$B$18)^5),"")</f>
        <v>57625.309261100716</v>
      </c>
      <c r="C53" s="17">
        <f>IFERROR(('Table G'!$B$14+'Table G'!$B$15)/(1+'Table G'!$B$18)*IF(ABS(((1+$A53)/(1+'Table G'!$B$18))-1)&lt;0.000000001,10,(1-((1+$A53)/(1+'Table G'!$B$18))^10)/(1-((1+$A53)/(1+'Table G'!$B$18))))+('Table G'!$B$14+'Table G'!$B$15)*(1+$A53)^(10-1)*(1+'Table G'!$B$25)/(('Table G'!$B$18-'Table G'!$B$25)*(1+'Table G'!$B$18)^10),"")</f>
        <v>47699.54503438234</v>
      </c>
      <c r="D53" s="17">
        <f>IFERROR(('Table G'!$B$14+'Table G'!$B$15)/(1+'Table G'!$B$18)*IF(ABS(((1+$A53)/(1+'Table G'!$B$18))-1)&lt;0.000000001,5,(1-((1+$A53)/(1+'Table G'!$B$18))^5)/(1-((1+$A53)/(1+'Table G'!$B$18))))+('Table G'!$B$14+'Table G'!$B$15)*(1+$A53)^(5-1)*(1+'Table G'!$B$26)/(('Table G'!$B$18-'Table G'!$B$26)*(1+'Table G'!$B$18)^5),"")</f>
        <v>61045.759319938603</v>
      </c>
      <c r="E53" s="17">
        <f>IFERROR(('Table G'!$B$14+'Table G'!$B$15)/(1+'Table G'!$B$18)*IF(ABS(((1+$A53)/(1+'Table G'!$B$18))-1)&lt;0.000000001,10,(1-((1+$A53)/(1+'Table G'!$B$18))^10)/(1-((1+$A53)/(1+'Table G'!$B$18))))+('Table G'!$B$14+'Table G'!$B$15)*(1+$A53)^(10-1)*(1+'Table G'!$B$26)/(('Table G'!$B$18-'Table G'!$B$26)*(1+'Table G'!$B$18)^10),"")</f>
        <v>49487.686902955014</v>
      </c>
      <c r="F53" s="17">
        <f>IFERROR(('Table G'!$B$14+'Table G'!$B$15)/(1+'Table G'!$B$18)*IF(ABS(((1+$A53)/(1+'Table G'!$B$18))-1)&lt;0.000000001,5,(1-((1+$A53)/(1+'Table G'!$B$18))^5)/(1-((1+$A53)/(1+'Table G'!$B$18))))+('Table G'!$B$14+'Table G'!$B$15)*(1+$A53)^(5-1)*(1+'Table G'!$B$27)/(('Table G'!$B$18-'Table G'!$B$27)*(1+'Table G'!$B$18)^5),"")</f>
        <v>65061.644836486579</v>
      </c>
      <c r="G53" s="17">
        <f>IFERROR(('Table G'!$B$14+'Table G'!$B$15)/(1+'Table G'!$B$18)*IF(ABS(((1+$A53)/(1+'Table G'!$B$18))-1)&lt;0.000000001,10,(1-((1+$A53)/(1+'Table G'!$B$18))^10)/(1-((1+$A53)/(1+'Table G'!$B$18))))+('Table G'!$B$14+'Table G'!$B$15)*(1+$A53)^(10-1)*(1+'Table G'!$B$27)/(('Table G'!$B$18-'Table G'!$B$27)*(1+'Table G'!$B$18)^10),"")</f>
        <v>51587.110343732798</v>
      </c>
    </row>
    <row r="54" spans="1:7" x14ac:dyDescent="0.2">
      <c r="A54" s="8">
        <f>-0.1+50*$B$2</f>
        <v>-0.05</v>
      </c>
      <c r="B54" s="17">
        <f>IFERROR(('Table G'!$B$14+'Table G'!$B$15)/(1+'Table G'!$B$18)*IF(ABS(((1+$A54)/(1+'Table G'!$B$18))-1)&lt;0.000000001,5,(1-((1+$A54)/(1+'Table G'!$B$18))^5)/(1-((1+$A54)/(1+'Table G'!$B$18))))+('Table G'!$B$14+'Table G'!$B$15)*(1+$A54)^(5-1)*(1+'Table G'!$B$25)/(('Table G'!$B$18-'Table G'!$B$25)*(1+'Table G'!$B$18)^5),"")</f>
        <v>57826.689495833707</v>
      </c>
      <c r="C54" s="17">
        <f>IFERROR(('Table G'!$B$14+'Table G'!$B$15)/(1+'Table G'!$B$18)*IF(ABS(((1+$A54)/(1+'Table G'!$B$18))-1)&lt;0.000000001,10,(1-((1+$A54)/(1+'Table G'!$B$18))^10)/(1-((1+$A54)/(1+'Table G'!$B$18))))+('Table G'!$B$14+'Table G'!$B$15)*(1+$A54)^(10-1)*(1+'Table G'!$B$25)/(('Table G'!$B$18-'Table G'!$B$25)*(1+'Table G'!$B$18)^10),"")</f>
        <v>47996.734024715028</v>
      </c>
      <c r="D54" s="17">
        <f>IFERROR(('Table G'!$B$14+'Table G'!$B$15)/(1+'Table G'!$B$18)*IF(ABS(((1+$A54)/(1+'Table G'!$B$18))-1)&lt;0.000000001,5,(1-((1+$A54)/(1+'Table G'!$B$18))^5)/(1-((1+$A54)/(1+'Table G'!$B$18))))+('Table G'!$B$14+'Table G'!$B$15)*(1+$A54)^(5-1)*(1+'Table G'!$B$26)/(('Table G'!$B$18-'Table G'!$B$26)*(1+'Table G'!$B$18)^5),"")</f>
        <v>61261.579429315942</v>
      </c>
      <c r="E54" s="17">
        <f>IFERROR(('Table G'!$B$14+'Table G'!$B$15)/(1+'Table G'!$B$18)*IF(ABS(((1+$A54)/(1+'Table G'!$B$18))-1)&lt;0.000000001,10,(1-((1+$A54)/(1+'Table G'!$B$18))^10)/(1-((1+$A54)/(1+'Table G'!$B$18))))+('Table G'!$B$14+'Table G'!$B$15)*(1+$A54)^(10-1)*(1+'Table G'!$B$26)/(('Table G'!$B$18-'Table G'!$B$26)*(1+'Table G'!$B$18)^10),"")</f>
        <v>49801.905689316322</v>
      </c>
      <c r="F54" s="17">
        <f>IFERROR(('Table G'!$B$14+'Table G'!$B$15)/(1+'Table G'!$B$18)*IF(ABS(((1+$A54)/(1+'Table G'!$B$18))-1)&lt;0.000000001,5,(1-((1+$A54)/(1+'Table G'!$B$18))^5)/(1-((1+$A54)/(1+'Table G'!$B$18))))+('Table G'!$B$14+'Table G'!$B$15)*(1+$A54)^(5-1)*(1+'Table G'!$B$27)/(('Table G'!$B$18-'Table G'!$B$27)*(1+'Table G'!$B$18)^5),"")</f>
        <v>65294.418528710463</v>
      </c>
      <c r="G54" s="17">
        <f>IFERROR(('Table G'!$B$14+'Table G'!$B$15)/(1+'Table G'!$B$18)*IF(ABS(((1+$A54)/(1+'Table G'!$B$18))-1)&lt;0.000000001,10,(1-((1+$A54)/(1+'Table G'!$B$18))^10)/(1-((1+$A54)/(1+'Table G'!$B$18))))+('Table G'!$B$14+'Table G'!$B$15)*(1+$A54)^(10-1)*(1+'Table G'!$B$27)/(('Table G'!$B$18-'Table G'!$B$27)*(1+'Table G'!$B$18)^10),"")</f>
        <v>51921.323490498355</v>
      </c>
    </row>
    <row r="55" spans="1:7" x14ac:dyDescent="0.2">
      <c r="A55" s="8">
        <f>-0.1+51*$B$2</f>
        <v>-4.9000000000000002E-2</v>
      </c>
      <c r="B55" s="17">
        <f>IFERROR(('Table G'!$B$14+'Table G'!$B$15)/(1+'Table G'!$B$18)*IF(ABS(((1+$A55)/(1+'Table G'!$B$18))-1)&lt;0.000000001,5,(1-((1+$A55)/(1+'Table G'!$B$18))^5)/(1-((1+$A55)/(1+'Table G'!$B$18))))+('Table G'!$B$14+'Table G'!$B$15)*(1+$A55)^(5-1)*(1+'Table G'!$B$25)/(('Table G'!$B$18-'Table G'!$B$25)*(1+'Table G'!$B$18)^5),"")</f>
        <v>58028.668042609745</v>
      </c>
      <c r="C55" s="17">
        <f>IFERROR(('Table G'!$B$14+'Table G'!$B$15)/(1+'Table G'!$B$18)*IF(ABS(((1+$A55)/(1+'Table G'!$B$18))-1)&lt;0.000000001,10,(1-((1+$A55)/(1+'Table G'!$B$18))^10)/(1-((1+$A55)/(1+'Table G'!$B$18))))+('Table G'!$B$14+'Table G'!$B$15)*(1+$A55)^(10-1)*(1+'Table G'!$B$25)/(('Table G'!$B$18-'Table G'!$B$25)*(1+'Table G'!$B$18)^10),"")</f>
        <v>48296.090144399961</v>
      </c>
      <c r="D55" s="17">
        <f>IFERROR(('Table G'!$B$14+'Table G'!$B$15)/(1+'Table G'!$B$18)*IF(ABS(((1+$A55)/(1+'Table G'!$B$18))-1)&lt;0.000000001,5,(1-((1+$A55)/(1+'Table G'!$B$18))^5)/(1-((1+$A55)/(1+'Table G'!$B$18))))+('Table G'!$B$14+'Table G'!$B$15)*(1+$A55)^(5-1)*(1+'Table G'!$B$26)/(('Table G'!$B$18-'Table G'!$B$26)*(1+'Table G'!$B$18)^5),"")</f>
        <v>61478.043522411463</v>
      </c>
      <c r="E55" s="17">
        <f>IFERROR(('Table G'!$B$14+'Table G'!$B$15)/(1+'Table G'!$B$18)*IF(ABS(((1+$A55)/(1+'Table G'!$B$18))-1)&lt;0.000000001,10,(1-((1+$A55)/(1+'Table G'!$B$18))^10)/(1-((1+$A55)/(1+'Table G'!$B$18))))+('Table G'!$B$14+'Table G'!$B$15)*(1+$A55)^(10-1)*(1+'Table G'!$B$26)/(('Table G'!$B$18-'Table G'!$B$26)*(1+'Table G'!$B$18)^10),"")</f>
        <v>50118.435619283511</v>
      </c>
      <c r="F55" s="17">
        <f>IFERROR(('Table G'!$B$14+'Table G'!$B$15)/(1+'Table G'!$B$18)*IF(ABS(((1+$A55)/(1+'Table G'!$B$18))-1)&lt;0.000000001,5,(1-((1+$A55)/(1+'Table G'!$B$18))^5)/(1-((1+$A55)/(1+'Table G'!$B$18))))+('Table G'!$B$14+'Table G'!$B$15)*(1+$A55)^(5-1)*(1+'Table G'!$B$27)/(('Table G'!$B$18-'Table G'!$B$27)*(1+'Table G'!$B$18)^5),"")</f>
        <v>65527.889826899758</v>
      </c>
      <c r="G55" s="17">
        <f>IFERROR(('Table G'!$B$14+'Table G'!$B$15)/(1+'Table G'!$B$18)*IF(ABS(((1+$A55)/(1+'Table G'!$B$18))-1)&lt;0.000000001,10,(1-((1+$A55)/(1+'Table G'!$B$18))^10)/(1-((1+$A55)/(1+'Table G'!$B$18))))+('Table G'!$B$14+'Table G'!$B$15)*(1+$A55)^(10-1)*(1+'Table G'!$B$27)/(('Table G'!$B$18-'Table G'!$B$27)*(1+'Table G'!$B$18)^10),"")</f>
        <v>52258.016865272541</v>
      </c>
    </row>
    <row r="56" spans="1:7" x14ac:dyDescent="0.2">
      <c r="A56" s="8">
        <f>-0.1+52*$B$2</f>
        <v>-4.8000000000000001E-2</v>
      </c>
      <c r="B56" s="17">
        <f>IFERROR(('Table G'!$B$14+'Table G'!$B$15)/(1+'Table G'!$B$18)*IF(ABS(((1+$A56)/(1+'Table G'!$B$18))-1)&lt;0.000000001,5,(1-((1+$A56)/(1+'Table G'!$B$18))^5)/(1-((1+$A56)/(1+'Table G'!$B$18))))+('Table G'!$B$14+'Table G'!$B$15)*(1+$A56)^(5-1)*(1+'Table G'!$B$25)/(('Table G'!$B$18-'Table G'!$B$25)*(1+'Table G'!$B$18)^5),"")</f>
        <v>58231.246124192592</v>
      </c>
      <c r="C56" s="17">
        <f>IFERROR(('Table G'!$B$14+'Table G'!$B$15)/(1+'Table G'!$B$18)*IF(ABS(((1+$A56)/(1+'Table G'!$B$18))-1)&lt;0.000000001,10,(1-((1+$A56)/(1+'Table G'!$B$18))^10)/(1-((1+$A56)/(1+'Table G'!$B$18))))+('Table G'!$B$14+'Table G'!$B$15)*(1+$A56)^(10-1)*(1+'Table G'!$B$25)/(('Table G'!$B$18-'Table G'!$B$25)*(1+'Table G'!$B$18)^10),"")</f>
        <v>48597.628315202121</v>
      </c>
      <c r="D56" s="17">
        <f>IFERROR(('Table G'!$B$14+'Table G'!$B$15)/(1+'Table G'!$B$18)*IF(ABS(((1+$A56)/(1+'Table G'!$B$18))-1)&lt;0.000000001,5,(1-((1+$A56)/(1+'Table G'!$B$18))^5)/(1-((1+$A56)/(1+'Table G'!$B$18))))+('Table G'!$B$14+'Table G'!$B$15)*(1+$A56)^(5-1)*(1+'Table G'!$B$26)/(('Table G'!$B$18-'Table G'!$B$26)*(1+'Table G'!$B$18)^5),"")</f>
        <v>61695.152918190419</v>
      </c>
      <c r="E56" s="17">
        <f>IFERROR(('Table G'!$B$14+'Table G'!$B$15)/(1+'Table G'!$B$18)*IF(ABS(((1+$A56)/(1+'Table G'!$B$18))-1)&lt;0.000000001,10,(1-((1+$A56)/(1+'Table G'!$B$18))^10)/(1-((1+$A56)/(1+'Table G'!$B$18))))+('Table G'!$B$14+'Table G'!$B$15)*(1+$A56)^(10-1)*(1+'Table G'!$B$26)/(('Table G'!$B$18-'Table G'!$B$26)*(1+'Table G'!$B$18)^10),"")</f>
        <v>50437.292679134931</v>
      </c>
      <c r="F56" s="17">
        <f>IFERROR(('Table G'!$B$14+'Table G'!$B$15)/(1+'Table G'!$B$18)*IF(ABS(((1+$A56)/(1+'Table G'!$B$18))-1)&lt;0.000000001,5,(1-((1+$A56)/(1+'Table G'!$B$18))^5)/(1-((1+$A56)/(1+'Table G'!$B$18))))+('Table G'!$B$14+'Table G'!$B$15)*(1+$A56)^(5-1)*(1+'Table G'!$B$27)/(('Table G'!$B$18-'Table G'!$B$27)*(1+'Table G'!$B$18)^5),"")</f>
        <v>65762.060162968075</v>
      </c>
      <c r="G56" s="17">
        <f>IFERROR(('Table G'!$B$14+'Table G'!$B$15)/(1+'Table G'!$B$18)*IF(ABS(((1+$A56)/(1+'Table G'!$B$18))-1)&lt;0.000000001,10,(1-((1+$A56)/(1+'Table G'!$B$18))^10)/(1-((1+$A56)/(1+'Table G'!$B$18))))+('Table G'!$B$14+'Table G'!$B$15)*(1+$A56)^(10-1)*(1+'Table G'!$B$27)/(('Table G'!$B$18-'Table G'!$B$27)*(1+'Table G'!$B$18)^10),"")</f>
        <v>52597.20770415866</v>
      </c>
    </row>
    <row r="57" spans="1:7" x14ac:dyDescent="0.2">
      <c r="A57" s="8">
        <f>-0.1+53*$B$2</f>
        <v>-4.7000000000000007E-2</v>
      </c>
      <c r="B57" s="17">
        <f>IFERROR(('Table G'!$B$14+'Table G'!$B$15)/(1+'Table G'!$B$18)*IF(ABS(((1+$A57)/(1+'Table G'!$B$18))-1)&lt;0.000000001,5,(1-((1+$A57)/(1+'Table G'!$B$18))^5)/(1-((1+$A57)/(1+'Table G'!$B$18))))+('Table G'!$B$14+'Table G'!$B$15)*(1+$A57)^(5-1)*(1+'Table G'!$B$25)/(('Table G'!$B$18-'Table G'!$B$25)*(1+'Table G'!$B$18)^5),"")</f>
        <v>58434.424964610094</v>
      </c>
      <c r="C57" s="17">
        <f>IFERROR(('Table G'!$B$14+'Table G'!$B$15)/(1+'Table G'!$B$18)*IF(ABS(((1+$A57)/(1+'Table G'!$B$18))-1)&lt;0.000000001,10,(1-((1+$A57)/(1+'Table G'!$B$18))^10)/(1-((1+$A57)/(1+'Table G'!$B$18))))+('Table G'!$B$14+'Table G'!$B$15)*(1+$A57)^(10-1)*(1+'Table G'!$B$25)/(('Table G'!$B$18-'Table G'!$B$25)*(1+'Table G'!$B$18)^10),"")</f>
        <v>48901.363549570713</v>
      </c>
      <c r="D57" s="17">
        <f>IFERROR(('Table G'!$B$14+'Table G'!$B$15)/(1+'Table G'!$B$18)*IF(ABS(((1+$A57)/(1+'Table G'!$B$18))-1)&lt;0.000000001,5,(1-((1+$A57)/(1+'Table G'!$B$18))^5)/(1-((1+$A57)/(1+'Table G'!$B$18))))+('Table G'!$B$14+'Table G'!$B$15)*(1+$A57)^(5-1)*(1+'Table G'!$B$26)/(('Table G'!$B$18-'Table G'!$B$26)*(1+'Table G'!$B$18)^5),"")</f>
        <v>61912.908936983338</v>
      </c>
      <c r="E57" s="17">
        <f>IFERROR(('Table G'!$B$14+'Table G'!$B$15)/(1+'Table G'!$B$18)*IF(ABS(((1+$A57)/(1+'Table G'!$B$18))-1)&lt;0.000000001,10,(1-((1+$A57)/(1+'Table G'!$B$18))^10)/(1-((1+$A57)/(1+'Table G'!$B$18))))+('Table G'!$B$14+'Table G'!$B$15)*(1+$A57)^(10-1)*(1+'Table G'!$B$26)/(('Table G'!$B$18-'Table G'!$B$26)*(1+'Table G'!$B$18)^10),"")</f>
        <v>50758.492952570596</v>
      </c>
      <c r="F57" s="17">
        <f>IFERROR(('Table G'!$B$14+'Table G'!$B$15)/(1+'Table G'!$B$18)*IF(ABS(((1+$A57)/(1+'Table G'!$B$18))-1)&lt;0.000000001,5,(1-((1+$A57)/(1+'Table G'!$B$18))^5)/(1-((1+$A57)/(1+'Table G'!$B$18))))+('Table G'!$B$14+'Table G'!$B$15)*(1+$A57)^(5-1)*(1+'Table G'!$B$27)/(('Table G'!$B$18-'Table G'!$B$27)*(1+'Table G'!$B$18)^5),"")</f>
        <v>65996.930970313086</v>
      </c>
      <c r="G57" s="17">
        <f>IFERROR(('Table G'!$B$14+'Table G'!$B$15)/(1+'Table G'!$B$18)*IF(ABS(((1+$A57)/(1+'Table G'!$B$18))-1)&lt;0.000000001,10,(1-((1+$A57)/(1+'Table G'!$B$18))^10)/(1-((1+$A57)/(1+'Table G'!$B$18))))+('Table G'!$B$14+'Table G'!$B$15)*(1+$A57)^(10-1)*(1+'Table G'!$B$27)/(('Table G'!$B$18-'Table G'!$B$27)*(1+'Table G'!$B$18)^10),"")</f>
        <v>52938.913348591966</v>
      </c>
    </row>
    <row r="58" spans="1:7" x14ac:dyDescent="0.2">
      <c r="A58" s="8">
        <f>-0.1+54*$B$2</f>
        <v>-4.6000000000000006E-2</v>
      </c>
      <c r="B58" s="17">
        <f>IFERROR(('Table G'!$B$14+'Table G'!$B$15)/(1+'Table G'!$B$18)*IF(ABS(((1+$A58)/(1+'Table G'!$B$18))-1)&lt;0.000000001,5,(1-((1+$A58)/(1+'Table G'!$B$18))^5)/(1-((1+$A58)/(1+'Table G'!$B$18))))+('Table G'!$B$14+'Table G'!$B$15)*(1+$A58)^(5-1)*(1+'Table G'!$B$25)/(('Table G'!$B$18-'Table G'!$B$25)*(1+'Table G'!$B$18)^5),"")</f>
        <v>58638.205789154017</v>
      </c>
      <c r="C58" s="17">
        <f>IFERROR(('Table G'!$B$14+'Table G'!$B$15)/(1+'Table G'!$B$18)*IF(ABS(((1+$A58)/(1+'Table G'!$B$18))-1)&lt;0.000000001,10,(1-((1+$A58)/(1+'Table G'!$B$18))^10)/(1-((1+$A58)/(1+'Table G'!$B$18))))+('Table G'!$B$14+'Table G'!$B$15)*(1+$A58)^(10-1)*(1+'Table G'!$B$25)/(('Table G'!$B$18-'Table G'!$B$25)*(1+'Table G'!$B$18)^10),"")</f>
        <v>49207.310951104635</v>
      </c>
      <c r="D58" s="17">
        <f>IFERROR(('Table G'!$B$14+'Table G'!$B$15)/(1+'Table G'!$B$18)*IF(ABS(((1+$A58)/(1+'Table G'!$B$18))-1)&lt;0.000000001,5,(1-((1+$A58)/(1+'Table G'!$B$18))^5)/(1-((1+$A58)/(1+'Table G'!$B$18))))+('Table G'!$B$14+'Table G'!$B$15)*(1+$A58)^(5-1)*(1+'Table G'!$B$26)/(('Table G'!$B$18-'Table G'!$B$26)*(1+'Table G'!$B$18)^5),"")</f>
        <v>62131.312900485907</v>
      </c>
      <c r="E58" s="17">
        <f>IFERROR(('Table G'!$B$14+'Table G'!$B$15)/(1+'Table G'!$B$18)*IF(ABS(((1+$A58)/(1+'Table G'!$B$18))-1)&lt;0.000000001,10,(1-((1+$A58)/(1+'Table G'!$B$18))^10)/(1-((1+$A58)/(1+'Table G'!$B$18))))+('Table G'!$B$14+'Table G'!$B$15)*(1+$A58)^(10-1)*(1+'Table G'!$B$26)/(('Table G'!$B$18-'Table G'!$B$26)*(1+'Table G'!$B$18)^10),"")</f>
        <v>51082.05262121305</v>
      </c>
      <c r="F58" s="17">
        <f>IFERROR(('Table G'!$B$14+'Table G'!$B$15)/(1+'Table G'!$B$18)*IF(ABS(((1+$A58)/(1+'Table G'!$B$18))-1)&lt;0.000000001,5,(1-((1+$A58)/(1+'Table G'!$B$18))^5)/(1-((1+$A58)/(1+'Table G'!$B$18))))+('Table G'!$B$14+'Table G'!$B$15)*(1+$A58)^(5-1)*(1+'Table G'!$B$27)/(('Table G'!$B$18-'Table G'!$B$27)*(1+'Table G'!$B$18)^5),"")</f>
        <v>66232.503683816481</v>
      </c>
      <c r="G58" s="17">
        <f>IFERROR(('Table G'!$B$14+'Table G'!$B$15)/(1+'Table G'!$B$18)*IF(ABS(((1+$A58)/(1+'Table G'!$B$18))-1)&lt;0.000000001,10,(1-((1+$A58)/(1+'Table G'!$B$18))^10)/(1-((1+$A58)/(1+'Table G'!$B$18))))+('Table G'!$B$14+'Table G'!$B$15)*(1+$A58)^(10-1)*(1+'Table G'!$B$27)/(('Table G'!$B$18-'Table G'!$B$27)*(1+'Table G'!$B$18)^10),"")</f>
        <v>53283.151245882123</v>
      </c>
    </row>
    <row r="59" spans="1:7" x14ac:dyDescent="0.2">
      <c r="A59" s="8">
        <f>-0.1+55*$B$2</f>
        <v>-4.5000000000000005E-2</v>
      </c>
      <c r="B59" s="17">
        <f>IFERROR(('Table G'!$B$14+'Table G'!$B$15)/(1+'Table G'!$B$18)*IF(ABS(((1+$A59)/(1+'Table G'!$B$18))-1)&lt;0.000000001,5,(1-((1+$A59)/(1+'Table G'!$B$18))^5)/(1-((1+$A59)/(1+'Table G'!$B$18))))+('Table G'!$B$14+'Table G'!$B$15)*(1+$A59)^(5-1)*(1+'Table G'!$B$25)/(('Table G'!$B$18-'Table G'!$B$25)*(1+'Table G'!$B$18)^5),"")</f>
        <v>58842.589824380222</v>
      </c>
      <c r="C59" s="17">
        <f>IFERROR(('Table G'!$B$14+'Table G'!$B$15)/(1+'Table G'!$B$18)*IF(ABS(((1+$A59)/(1+'Table G'!$B$18))-1)&lt;0.000000001,10,(1-((1+$A59)/(1+'Table G'!$B$18))^10)/(1-((1+$A59)/(1+'Table G'!$B$18))))+('Table G'!$B$14+'Table G'!$B$15)*(1+$A59)^(10-1)*(1+'Table G'!$B$25)/(('Table G'!$B$18-'Table G'!$B$25)*(1+'Table G'!$B$18)^10),"")</f>
        <v>49515.485715019997</v>
      </c>
      <c r="D59" s="17">
        <f>IFERROR(('Table G'!$B$14+'Table G'!$B$15)/(1+'Table G'!$B$18)*IF(ABS(((1+$A59)/(1+'Table G'!$B$18))-1)&lt;0.000000001,5,(1-((1+$A59)/(1+'Table G'!$B$18))^5)/(1-((1+$A59)/(1+'Table G'!$B$18))))+('Table G'!$B$14+'Table G'!$B$15)*(1+$A59)^(5-1)*(1+'Table G'!$B$26)/(('Table G'!$B$18-'Table G'!$B$26)*(1+'Table G'!$B$18)^5),"")</f>
        <v>62350.36613175911</v>
      </c>
      <c r="E59" s="17">
        <f>IFERROR(('Table G'!$B$14+'Table G'!$B$15)/(1+'Table G'!$B$18)*IF(ABS(((1+$A59)/(1+'Table G'!$B$18))-1)&lt;0.000000001,10,(1-((1+$A59)/(1+'Table G'!$B$18))^10)/(1-((1+$A59)/(1+'Table G'!$B$18))))+('Table G'!$B$14+'Table G'!$B$15)*(1+$A59)^(10-1)*(1+'Table G'!$B$26)/(('Table G'!$B$18-'Table G'!$B$26)*(1+'Table G'!$B$18)^10),"")</f>
        <v>51407.987965110609</v>
      </c>
      <c r="F59" s="17">
        <f>IFERROR(('Table G'!$B$14+'Table G'!$B$15)/(1+'Table G'!$B$18)*IF(ABS(((1+$A59)/(1+'Table G'!$B$18))-1)&lt;0.000000001,5,(1-((1+$A59)/(1+'Table G'!$B$18))^5)/(1-((1+$A59)/(1+'Table G'!$B$18))))+('Table G'!$B$14+'Table G'!$B$15)*(1+$A59)^(5-1)*(1+'Table G'!$B$27)/(('Table G'!$B$18-'Table G'!$B$27)*(1+'Table G'!$B$18)^5),"")</f>
        <v>66468.779739844074</v>
      </c>
      <c r="G59" s="17">
        <f>IFERROR(('Table G'!$B$14+'Table G'!$B$15)/(1+'Table G'!$B$18)*IF(ABS(((1+$A59)/(1+'Table G'!$B$18))-1)&lt;0.000000001,10,(1-((1+$A59)/(1+'Table G'!$B$18))^10)/(1-((1+$A59)/(1+'Table G'!$B$18))))+('Table G'!$B$14+'Table G'!$B$15)*(1+$A59)^(10-1)*(1+'Table G'!$B$27)/(('Table G'!$B$18-'Table G'!$B$27)*(1+'Table G'!$B$18)^10),"")</f>
        <v>53629.938949758376</v>
      </c>
    </row>
    <row r="60" spans="1:7" x14ac:dyDescent="0.2">
      <c r="A60" s="8">
        <f>-0.1+56*$B$2</f>
        <v>-4.4000000000000004E-2</v>
      </c>
      <c r="B60" s="17">
        <f>IFERROR(('Table G'!$B$14+'Table G'!$B$15)/(1+'Table G'!$B$18)*IF(ABS(((1+$A60)/(1+'Table G'!$B$18))-1)&lt;0.000000001,5,(1-((1+$A60)/(1+'Table G'!$B$18))^5)/(1-((1+$A60)/(1+'Table G'!$B$18))))+('Table G'!$B$14+'Table G'!$B$15)*(1+$A60)^(5-1)*(1+'Table G'!$B$25)/(('Table G'!$B$18-'Table G'!$B$25)*(1+'Table G'!$B$18)^5),"")</f>
        <v>59047.578298108558</v>
      </c>
      <c r="C60" s="17">
        <f>IFERROR(('Table G'!$B$14+'Table G'!$B$15)/(1+'Table G'!$B$18)*IF(ABS(((1+$A60)/(1+'Table G'!$B$18))-1)&lt;0.000000001,10,(1-((1+$A60)/(1+'Table G'!$B$18))^10)/(1-((1+$A60)/(1+'Table G'!$B$18))))+('Table G'!$B$14+'Table G'!$B$15)*(1+$A60)^(10-1)*(1+'Table G'!$B$25)/(('Table G'!$B$18-'Table G'!$B$25)*(1+'Table G'!$B$18)^10),"")</f>
        <v>49825.903128619393</v>
      </c>
      <c r="D60" s="17">
        <f>IFERROR(('Table G'!$B$14+'Table G'!$B$15)/(1+'Table G'!$B$18)*IF(ABS(((1+$A60)/(1+'Table G'!$B$18))-1)&lt;0.000000001,5,(1-((1+$A60)/(1+'Table G'!$B$18))^5)/(1-((1+$A60)/(1+'Table G'!$B$18))))+('Table G'!$B$14+'Table G'!$B$15)*(1+$A60)^(5-1)*(1+'Table G'!$B$26)/(('Table G'!$B$18-'Table G'!$B$26)*(1+'Table G'!$B$18)^5),"")</f>
        <v>62570.06995522909</v>
      </c>
      <c r="E60" s="17">
        <f>IFERROR(('Table G'!$B$14+'Table G'!$B$15)/(1+'Table G'!$B$18)*IF(ABS(((1+$A60)/(1+'Table G'!$B$18))-1)&lt;0.000000001,10,(1-((1+$A60)/(1+'Table G'!$B$18))^10)/(1-((1+$A60)/(1+'Table G'!$B$18))))+('Table G'!$B$14+'Table G'!$B$15)*(1+$A60)^(10-1)*(1+'Table G'!$B$26)/(('Table G'!$B$18-'Table G'!$B$26)*(1+'Table G'!$B$18)^10),"")</f>
        <v>51736.315363242451</v>
      </c>
      <c r="F60" s="17">
        <f>IFERROR(('Table G'!$B$14+'Table G'!$B$15)/(1+'Table G'!$B$18)*IF(ABS(((1+$A60)/(1+'Table G'!$B$18))-1)&lt;0.000000001,5,(1-((1+$A60)/(1+'Table G'!$B$18))^5)/(1-((1+$A60)/(1+'Table G'!$B$18))))+('Table G'!$B$14+'Table G'!$B$15)*(1+$A60)^(5-1)*(1+'Table G'!$B$27)/(('Table G'!$B$18-'Table G'!$B$27)*(1+'Table G'!$B$18)^5),"")</f>
        <v>66705.760576245666</v>
      </c>
      <c r="G60" s="17">
        <f>IFERROR(('Table G'!$B$14+'Table G'!$B$15)/(1+'Table G'!$B$18)*IF(ABS(((1+$A60)/(1+'Table G'!$B$18))-1)&lt;0.000000001,10,(1-((1+$A60)/(1+'Table G'!$B$18))^10)/(1-((1+$A60)/(1+'Table G'!$B$18))))+('Table G'!$B$14+'Table G'!$B$15)*(1+$A60)^(10-1)*(1+'Table G'!$B$27)/(('Table G'!$B$18-'Table G'!$B$27)*(1+'Table G'!$B$18)^10),"")</f>
        <v>53979.294120916631</v>
      </c>
    </row>
    <row r="61" spans="1:7" x14ac:dyDescent="0.2">
      <c r="A61" s="8">
        <f>-0.1+57*$B$2</f>
        <v>-4.3000000000000003E-2</v>
      </c>
      <c r="B61" s="17">
        <f>IFERROR(('Table G'!$B$14+'Table G'!$B$15)/(1+'Table G'!$B$18)*IF(ABS(((1+$A61)/(1+'Table G'!$B$18))-1)&lt;0.000000001,5,(1-((1+$A61)/(1+'Table G'!$B$18))^5)/(1-((1+$A61)/(1+'Table G'!$B$18))))+('Table G'!$B$14+'Table G'!$B$15)*(1+$A61)^(5-1)*(1+'Table G'!$B$25)/(('Table G'!$B$18-'Table G'!$B$25)*(1+'Table G'!$B$18)^5),"")</f>
        <v>59253.172439422895</v>
      </c>
      <c r="C61" s="17">
        <f>IFERROR(('Table G'!$B$14+'Table G'!$B$15)/(1+'Table G'!$B$18)*IF(ABS(((1+$A61)/(1+'Table G'!$B$18))-1)&lt;0.000000001,10,(1-((1+$A61)/(1+'Table G'!$B$18))^10)/(1-((1+$A61)/(1+'Table G'!$B$18))))+('Table G'!$B$14+'Table G'!$B$15)*(1+$A61)^(10-1)*(1+'Table G'!$B$25)/(('Table G'!$B$18-'Table G'!$B$25)*(1+'Table G'!$B$18)^10),"")</f>
        <v>50138.578571763435</v>
      </c>
      <c r="D61" s="17">
        <f>IFERROR(('Table G'!$B$14+'Table G'!$B$15)/(1+'Table G'!$B$18)*IF(ABS(((1+$A61)/(1+'Table G'!$B$18))-1)&lt;0.000000001,5,(1-((1+$A61)/(1+'Table G'!$B$18))^5)/(1-((1+$A61)/(1+'Table G'!$B$18))))+('Table G'!$B$14+'Table G'!$B$15)*(1+$A61)^(5-1)*(1+'Table G'!$B$26)/(('Table G'!$B$18-'Table G'!$B$26)*(1+'Table G'!$B$18)^5),"")</f>
        <v>62790.425696687293</v>
      </c>
      <c r="E61" s="17">
        <f>IFERROR(('Table G'!$B$14+'Table G'!$B$15)/(1+'Table G'!$B$18)*IF(ABS(((1+$A61)/(1+'Table G'!$B$18))-1)&lt;0.000000001,10,(1-((1+$A61)/(1+'Table G'!$B$18))^10)/(1-((1+$A61)/(1+'Table G'!$B$18))))+('Table G'!$B$14+'Table G'!$B$15)*(1+$A61)^(10-1)*(1+'Table G'!$B$26)/(('Table G'!$B$18-'Table G'!$B$26)*(1+'Table G'!$B$18)^10),"")</f>
        <v>52067.05129402598</v>
      </c>
      <c r="F61" s="17">
        <f>IFERROR(('Table G'!$B$14+'Table G'!$B$15)/(1+'Table G'!$B$18)*IF(ABS(((1+$A61)/(1+'Table G'!$B$18))-1)&lt;0.000000001,5,(1-((1+$A61)/(1+'Table G'!$B$18))^5)/(1-((1+$A61)/(1+'Table G'!$B$18))))+('Table G'!$B$14+'Table G'!$B$15)*(1+$A61)^(5-1)*(1+'Table G'!$B$27)/(('Table G'!$B$18-'Table G'!$B$27)*(1+'Table G'!$B$18)^5),"")</f>
        <v>66943.447632355179</v>
      </c>
      <c r="G61" s="17">
        <f>IFERROR(('Table G'!$B$14+'Table G'!$B$15)/(1+'Table G'!$B$18)*IF(ABS(((1+$A61)/(1+'Table G'!$B$18))-1)&lt;0.000000001,10,(1-((1+$A61)/(1+'Table G'!$B$18))^10)/(1-((1+$A61)/(1+'Table G'!$B$18))))+('Table G'!$B$14+'Table G'!$B$15)*(1+$A61)^(10-1)*(1+'Table G'!$B$27)/(('Table G'!$B$18-'Table G'!$B$27)*(1+'Table G'!$B$18)^10),"")</f>
        <v>54331.234527569002</v>
      </c>
    </row>
    <row r="62" spans="1:7" x14ac:dyDescent="0.2">
      <c r="A62" s="8">
        <f>-0.1+58*$B$2</f>
        <v>-4.2000000000000003E-2</v>
      </c>
      <c r="B62" s="17">
        <f>IFERROR(('Table G'!$B$14+'Table G'!$B$15)/(1+'Table G'!$B$18)*IF(ABS(((1+$A62)/(1+'Table G'!$B$18))-1)&lt;0.000000001,5,(1-((1+$A62)/(1+'Table G'!$B$18))^5)/(1-((1+$A62)/(1+'Table G'!$B$18))))+('Table G'!$B$14+'Table G'!$B$15)*(1+$A62)^(5-1)*(1+'Table G'!$B$25)/(('Table G'!$B$18-'Table G'!$B$25)*(1+'Table G'!$B$18)^5),"")</f>
        <v>59459.373478671136</v>
      </c>
      <c r="C62" s="17">
        <f>IFERROR(('Table G'!$B$14+'Table G'!$B$15)/(1+'Table G'!$B$18)*IF(ABS(((1+$A62)/(1+'Table G'!$B$18))-1)&lt;0.000000001,10,(1-((1+$A62)/(1+'Table G'!$B$18))^10)/(1-((1+$A62)/(1+'Table G'!$B$18))))+('Table G'!$B$14+'Table G'!$B$15)*(1+$A62)^(10-1)*(1+'Table G'!$B$25)/(('Table G'!$B$18-'Table G'!$B$25)*(1+'Table G'!$B$18)^10),"")</f>
        <v>50453.527517343799</v>
      </c>
      <c r="D62" s="17">
        <f>IFERROR(('Table G'!$B$14+'Table G'!$B$15)/(1+'Table G'!$B$18)*IF(ABS(((1+$A62)/(1+'Table G'!$B$18))-1)&lt;0.000000001,5,(1-((1+$A62)/(1+'Table G'!$B$18))^5)/(1-((1+$A62)/(1+'Table G'!$B$18))))+('Table G'!$B$14+'Table G'!$B$15)*(1+$A62)^(5-1)*(1+'Table G'!$B$26)/(('Table G'!$B$18-'Table G'!$B$26)*(1+'Table G'!$B$18)^5),"")</f>
        <v>63011.434683290368</v>
      </c>
      <c r="E62" s="17">
        <f>IFERROR(('Table G'!$B$14+'Table G'!$B$15)/(1+'Table G'!$B$18)*IF(ABS(((1+$A62)/(1+'Table G'!$B$18))-1)&lt;0.000000001,10,(1-((1+$A62)/(1+'Table G'!$B$18))^10)/(1-((1+$A62)/(1+'Table G'!$B$18))))+('Table G'!$B$14+'Table G'!$B$15)*(1+$A62)^(10-1)*(1+'Table G'!$B$26)/(('Table G'!$B$18-'Table G'!$B$26)*(1+'Table G'!$B$18)^10),"")</f>
        <v>52400.212335826116</v>
      </c>
      <c r="F62" s="17">
        <f>IFERROR(('Table G'!$B$14+'Table G'!$B$15)/(1+'Table G'!$B$18)*IF(ABS(((1+$A62)/(1+'Table G'!$B$18))-1)&lt;0.000000001,5,(1-((1+$A62)/(1+'Table G'!$B$18))^5)/(1-((1+$A62)/(1+'Table G'!$B$18))))+('Table G'!$B$14+'Table G'!$B$15)*(1+$A62)^(5-1)*(1+'Table G'!$B$27)/(('Table G'!$B$18-'Table G'!$B$27)*(1+'Table G'!$B$18)^5),"")</f>
        <v>67181.842348990584</v>
      </c>
      <c r="G62" s="17">
        <f>IFERROR(('Table G'!$B$14+'Table G'!$B$15)/(1+'Table G'!$B$18)*IF(ABS(((1+$A62)/(1+'Table G'!$B$18))-1)&lt;0.000000001,10,(1-((1+$A62)/(1+'Table G'!$B$18))^10)/(1-((1+$A62)/(1+'Table G'!$B$18))))+('Table G'!$B$14+'Table G'!$B$15)*(1+$A62)^(10-1)*(1+'Table G'!$B$27)/(('Table G'!$B$18-'Table G'!$B$27)*(1+'Table G'!$B$18)^10),"")</f>
        <v>54685.778045995554</v>
      </c>
    </row>
    <row r="63" spans="1:7" x14ac:dyDescent="0.2">
      <c r="A63" s="8">
        <f>-0.1+59*$B$2</f>
        <v>-4.1000000000000002E-2</v>
      </c>
      <c r="B63" s="17">
        <f>IFERROR(('Table G'!$B$14+'Table G'!$B$15)/(1+'Table G'!$B$18)*IF(ABS(((1+$A63)/(1+'Table G'!$B$18))-1)&lt;0.000000001,5,(1-((1+$A63)/(1+'Table G'!$B$18))^5)/(1-((1+$A63)/(1+'Table G'!$B$18))))+('Table G'!$B$14+'Table G'!$B$15)*(1+$A63)^(5-1)*(1+'Table G'!$B$25)/(('Table G'!$B$18-'Table G'!$B$25)*(1+'Table G'!$B$18)^5),"")</f>
        <v>59666.182647465219</v>
      </c>
      <c r="C63" s="17">
        <f>IFERROR(('Table G'!$B$14+'Table G'!$B$15)/(1+'Table G'!$B$18)*IF(ABS(((1+$A63)/(1+'Table G'!$B$18))-1)&lt;0.000000001,10,(1-((1+$A63)/(1+'Table G'!$B$18))^10)/(1-((1+$A63)/(1+'Table G'!$B$18))))+('Table G'!$B$14+'Table G'!$B$15)*(1+$A63)^(10-1)*(1+'Table G'!$B$25)/(('Table G'!$B$18-'Table G'!$B$25)*(1+'Table G'!$B$18)^10),"")</f>
        <v>50770.765531758545</v>
      </c>
      <c r="D63" s="17">
        <f>IFERROR(('Table G'!$B$14+'Table G'!$B$15)/(1+'Table G'!$B$18)*IF(ABS(((1+$A63)/(1+'Table G'!$B$18))-1)&lt;0.000000001,5,(1-((1+$A63)/(1+'Table G'!$B$18))^5)/(1-((1+$A63)/(1+'Table G'!$B$18))))+('Table G'!$B$14+'Table G'!$B$15)*(1+$A63)^(5-1)*(1+'Table G'!$B$26)/(('Table G'!$B$18-'Table G'!$B$26)*(1+'Table G'!$B$18)^5),"")</f>
        <v>63233.098243560198</v>
      </c>
      <c r="E63" s="17">
        <f>IFERROR(('Table G'!$B$14+'Table G'!$B$15)/(1+'Table G'!$B$18)*IF(ABS(((1+$A63)/(1+'Table G'!$B$18))-1)&lt;0.000000001,10,(1-((1+$A63)/(1+'Table G'!$B$18))^10)/(1-((1+$A63)/(1+'Table G'!$B$18))))+('Table G'!$B$14+'Table G'!$B$15)*(1+$A63)^(10-1)*(1+'Table G'!$B$26)/(('Table G'!$B$18-'Table G'!$B$26)*(1+'Table G'!$B$18)^10),"")</f>
        <v>52735.815167466724</v>
      </c>
      <c r="F63" s="17">
        <f>IFERROR(('Table G'!$B$14+'Table G'!$B$15)/(1+'Table G'!$B$18)*IF(ABS(((1+$A63)/(1+'Table G'!$B$18))-1)&lt;0.000000001,5,(1-((1+$A63)/(1+'Table G'!$B$18))^5)/(1-((1+$A63)/(1+'Table G'!$B$18))))+('Table G'!$B$14+'Table G'!$B$15)*(1+$A63)^(5-1)*(1+'Table G'!$B$27)/(('Table G'!$B$18-'Table G'!$B$27)*(1+'Table G'!$B$18)^5),"")</f>
        <v>67420.946168453942</v>
      </c>
      <c r="G63" s="17">
        <f>IFERROR(('Table G'!$B$14+'Table G'!$B$15)/(1+'Table G'!$B$18)*IF(ABS(((1+$A63)/(1+'Table G'!$B$18))-1)&lt;0.000000001,10,(1-((1+$A63)/(1+'Table G'!$B$18))^10)/(1-((1+$A63)/(1+'Table G'!$B$18))))+('Table G'!$B$14+'Table G'!$B$15)*(1+$A63)^(10-1)*(1+'Table G'!$B$27)/(('Table G'!$B$18-'Table G'!$B$27)*(1+'Table G'!$B$18)^10),"")</f>
        <v>55042.942661098219</v>
      </c>
    </row>
    <row r="64" spans="1:7" x14ac:dyDescent="0.2">
      <c r="A64" s="8">
        <f>-0.1+60*$B$2</f>
        <v>-4.0000000000000008E-2</v>
      </c>
      <c r="B64" s="17">
        <f>IFERROR(('Table G'!$B$14+'Table G'!$B$15)/(1+'Table G'!$B$18)*IF(ABS(((1+$A64)/(1+'Table G'!$B$18))-1)&lt;0.000000001,5,(1-((1+$A64)/(1+'Table G'!$B$18))^5)/(1-((1+$A64)/(1+'Table G'!$B$18))))+('Table G'!$B$14+'Table G'!$B$15)*(1+$A64)^(5-1)*(1+'Table G'!$B$25)/(('Table G'!$B$18-'Table G'!$B$25)*(1+'Table G'!$B$18)^5),"")</f>
        <v>59873.601178681041</v>
      </c>
      <c r="C64" s="17">
        <f>IFERROR(('Table G'!$B$14+'Table G'!$B$15)/(1+'Table G'!$B$18)*IF(ABS(((1+$A64)/(1+'Table G'!$B$18))-1)&lt;0.000000001,10,(1-((1+$A64)/(1+'Table G'!$B$18))^10)/(1-((1+$A64)/(1+'Table G'!$B$18))))+('Table G'!$B$14+'Table G'!$B$15)*(1+$A64)^(10-1)*(1+'Table G'!$B$25)/(('Table G'!$B$18-'Table G'!$B$25)*(1+'Table G'!$B$18)^10),"")</f>
        <v>51090.308275389281</v>
      </c>
      <c r="D64" s="17">
        <f>IFERROR(('Table G'!$B$14+'Table G'!$B$15)/(1+'Table G'!$B$18)*IF(ABS(((1+$A64)/(1+'Table G'!$B$18))-1)&lt;0.000000001,5,(1-((1+$A64)/(1+'Table G'!$B$18))^5)/(1-((1+$A64)/(1+'Table G'!$B$18))))+('Table G'!$B$14+'Table G'!$B$15)*(1+$A64)^(5-1)*(1+'Table G'!$B$26)/(('Table G'!$B$18-'Table G'!$B$26)*(1+'Table G'!$B$18)^5),"")</f>
        <v>63455.41770738388</v>
      </c>
      <c r="E64" s="17">
        <f>IFERROR(('Table G'!$B$14+'Table G'!$B$15)/(1+'Table G'!$B$18)*IF(ABS(((1+$A64)/(1+'Table G'!$B$18))-1)&lt;0.000000001,10,(1-((1+$A64)/(1+'Table G'!$B$18))^10)/(1-((1+$A64)/(1+'Table G'!$B$18))))+('Table G'!$B$14+'Table G'!$B$15)*(1+$A64)^(10-1)*(1+'Table G'!$B$26)/(('Table G'!$B$18-'Table G'!$B$26)*(1+'Table G'!$B$18)^10),"")</f>
        <v>53073.876568744323</v>
      </c>
      <c r="F64" s="17">
        <f>IFERROR(('Table G'!$B$14+'Table G'!$B$15)/(1+'Table G'!$B$18)*IF(ABS(((1+$A64)/(1+'Table G'!$B$18))-1)&lt;0.000000001,5,(1-((1+$A64)/(1+'Table G'!$B$18))^5)/(1-((1+$A64)/(1+'Table G'!$B$18))))+('Table G'!$B$14+'Table G'!$B$15)*(1+$A64)^(5-1)*(1+'Table G'!$B$27)/(('Table G'!$B$18-'Table G'!$B$27)*(1+'Table G'!$B$18)^5),"")</f>
        <v>67660.760534531291</v>
      </c>
      <c r="G64" s="17">
        <f>IFERROR(('Table G'!$B$14+'Table G'!$B$15)/(1+'Table G'!$B$18)*IF(ABS(((1+$A64)/(1+'Table G'!$B$18))-1)&lt;0.000000001,10,(1-((1+$A64)/(1+'Table G'!$B$18))^10)/(1-((1+$A64)/(1+'Table G'!$B$18))))+('Table G'!$B$14+'Table G'!$B$15)*(1+$A64)^(10-1)*(1+'Table G'!$B$27)/(('Table G'!$B$18-'Table G'!$B$27)*(1+'Table G'!$B$18)^10),"")</f>
        <v>55402.74646695728</v>
      </c>
    </row>
    <row r="65" spans="1:7" x14ac:dyDescent="0.2">
      <c r="A65" s="8">
        <f>-0.1+61*$B$2</f>
        <v>-3.9000000000000007E-2</v>
      </c>
      <c r="B65" s="17">
        <f>IFERROR(('Table G'!$B$14+'Table G'!$B$15)/(1+'Table G'!$B$18)*IF(ABS(((1+$A65)/(1+'Table G'!$B$18))-1)&lt;0.000000001,5,(1-((1+$A65)/(1+'Table G'!$B$18))^5)/(1-((1+$A65)/(1+'Table G'!$B$18))))+('Table G'!$B$14+'Table G'!$B$15)*(1+$A65)^(5-1)*(1+'Table G'!$B$25)/(('Table G'!$B$18-'Table G'!$B$25)*(1+'Table G'!$B$18)^5),"")</f>
        <v>60081.630306458581</v>
      </c>
      <c r="C65" s="17">
        <f>IFERROR(('Table G'!$B$14+'Table G'!$B$15)/(1+'Table G'!$B$18)*IF(ABS(((1+$A65)/(1+'Table G'!$B$18))-1)&lt;0.000000001,10,(1-((1+$A65)/(1+'Table G'!$B$18))^10)/(1-((1+$A65)/(1+'Table G'!$B$18))))+('Table G'!$B$14+'Table G'!$B$15)*(1+$A65)^(10-1)*(1+'Table G'!$B$25)/(('Table G'!$B$18-'Table G'!$B$25)*(1+'Table G'!$B$18)^10),"")</f>
        <v>51412.171503080288</v>
      </c>
      <c r="D65" s="17">
        <f>IFERROR(('Table G'!$B$14+'Table G'!$B$15)/(1+'Table G'!$B$18)*IF(ABS(((1+$A65)/(1+'Table G'!$B$18))-1)&lt;0.000000001,5,(1-((1+$A65)/(1+'Table G'!$B$18))^5)/(1-((1+$A65)/(1+'Table G'!$B$18))))+('Table G'!$B$14+'Table G'!$B$15)*(1+$A65)^(5-1)*(1+'Table G'!$B$26)/(('Table G'!$B$18-'Table G'!$B$26)*(1+'Table G'!$B$18)^5),"")</f>
        <v>63678.394406013744</v>
      </c>
      <c r="E65" s="17">
        <f>IFERROR(('Table G'!$B$14+'Table G'!$B$15)/(1+'Table G'!$B$18)*IF(ABS(((1+$A65)/(1+'Table G'!$B$18))-1)&lt;0.000000001,10,(1-((1+$A65)/(1+'Table G'!$B$18))^10)/(1-((1+$A65)/(1+'Table G'!$B$18))))+('Table G'!$B$14+'Table G'!$B$15)*(1+$A65)^(10-1)*(1+'Table G'!$B$26)/(('Table G'!$B$18-'Table G'!$B$26)*(1+'Table G'!$B$18)^10),"")</f>
        <v>53414.413420943631</v>
      </c>
      <c r="F65" s="17">
        <f>IFERROR(('Table G'!$B$14+'Table G'!$B$15)/(1+'Table G'!$B$18)*IF(ABS(((1+$A65)/(1+'Table G'!$B$18))-1)&lt;0.000000001,5,(1-((1+$A65)/(1+'Table G'!$B$18))^5)/(1-((1+$A65)/(1+'Table G'!$B$18))))+('Table G'!$B$14+'Table G'!$B$15)*(1+$A65)^(5-1)*(1+'Table G'!$B$27)/(('Table G'!$B$18-'Table G'!$B$27)*(1+'Table G'!$B$18)^5),"")</f>
        <v>67901.28689249279</v>
      </c>
      <c r="G65" s="17">
        <f>IFERROR(('Table G'!$B$14+'Table G'!$B$15)/(1+'Table G'!$B$18)*IF(ABS(((1+$A65)/(1+'Table G'!$B$18))-1)&lt;0.000000001,10,(1-((1+$A65)/(1+'Table G'!$B$18))^10)/(1-((1+$A65)/(1+'Table G'!$B$18))))+('Table G'!$B$14+'Table G'!$B$15)*(1+$A65)^(10-1)*(1+'Table G'!$B$27)/(('Table G'!$B$18-'Table G'!$B$27)*(1+'Table G'!$B$18)^10),"")</f>
        <v>55765.207667389812</v>
      </c>
    </row>
    <row r="66" spans="1:7" x14ac:dyDescent="0.2">
      <c r="A66" s="8">
        <f>-0.1+62*$B$2</f>
        <v>-3.8000000000000006E-2</v>
      </c>
      <c r="B66" s="17">
        <f>IFERROR(('Table G'!$B$14+'Table G'!$B$15)/(1+'Table G'!$B$18)*IF(ABS(((1+$A66)/(1+'Table G'!$B$18))-1)&lt;0.000000001,5,(1-((1+$A66)/(1+'Table G'!$B$18))^5)/(1-((1+$A66)/(1+'Table G'!$B$18))))+('Table G'!$B$14+'Table G'!$B$15)*(1+$A66)^(5-1)*(1+'Table G'!$B$25)/(('Table G'!$B$18-'Table G'!$B$25)*(1+'Table G'!$B$18)^5),"")</f>
        <v>60290.271266201809</v>
      </c>
      <c r="C66" s="17">
        <f>IFERROR(('Table G'!$B$14+'Table G'!$B$15)/(1+'Table G'!$B$18)*IF(ABS(((1+$A66)/(1+'Table G'!$B$18))-1)&lt;0.000000001,10,(1-((1+$A66)/(1+'Table G'!$B$18))^10)/(1-((1+$A66)/(1+'Table G'!$B$18))))+('Table G'!$B$14+'Table G'!$B$15)*(1+$A66)^(10-1)*(1+'Table G'!$B$25)/(('Table G'!$B$18-'Table G'!$B$25)*(1+'Table G'!$B$18)^10),"")</f>
        <v>51736.371064619641</v>
      </c>
      <c r="D66" s="17">
        <f>IFERROR(('Table G'!$B$14+'Table G'!$B$15)/(1+'Table G'!$B$18)*IF(ABS(((1+$A66)/(1+'Table G'!$B$18))-1)&lt;0.000000001,5,(1-((1+$A66)/(1+'Table G'!$B$18))^5)/(1-((1+$A66)/(1+'Table G'!$B$18))))+('Table G'!$B$14+'Table G'!$B$15)*(1+$A66)^(5-1)*(1+'Table G'!$B$26)/(('Table G'!$B$18-'Table G'!$B$26)*(1+'Table G'!$B$18)^5),"")</f>
        <v>63902.029672067394</v>
      </c>
      <c r="E66" s="17">
        <f>IFERROR(('Table G'!$B$14+'Table G'!$B$15)/(1+'Table G'!$B$18)*IF(ABS(((1+$A66)/(1+'Table G'!$B$18))-1)&lt;0.000000001,10,(1-((1+$A66)/(1+'Table G'!$B$18))^10)/(1-((1+$A66)/(1+'Table G'!$B$18))))+('Table G'!$B$14+'Table G'!$B$15)*(1+$A66)^(10-1)*(1+'Table G'!$B$26)/(('Table G'!$B$18-'Table G'!$B$26)*(1+'Table G'!$B$18)^10),"")</f>
        <v>53757.442707355462</v>
      </c>
      <c r="F66" s="17">
        <f>IFERROR(('Table G'!$B$14+'Table G'!$B$15)/(1+'Table G'!$B$18)*IF(ABS(((1+$A66)/(1+'Table G'!$B$18))-1)&lt;0.000000001,5,(1-((1+$A66)/(1+'Table G'!$B$18))^5)/(1-((1+$A66)/(1+'Table G'!$B$18))))+('Table G'!$B$14+'Table G'!$B$15)*(1+$A66)^(5-1)*(1+'Table G'!$B$27)/(('Table G'!$B$18-'Table G'!$B$27)*(1+'Table G'!$B$18)^5),"")</f>
        <v>68142.526689092687</v>
      </c>
      <c r="G66" s="17">
        <f>IFERROR(('Table G'!$B$14+'Table G'!$B$15)/(1+'Table G'!$B$18)*IF(ABS(((1+$A66)/(1+'Table G'!$B$18))-1)&lt;0.000000001,10,(1-((1+$A66)/(1+'Table G'!$B$18))^10)/(1-((1+$A66)/(1+'Table G'!$B$18))))+('Table G'!$B$14+'Table G'!$B$15)*(1+$A66)^(10-1)*(1+'Table G'!$B$27)/(('Table G'!$B$18-'Table G'!$B$27)*(1+'Table G'!$B$18)^10),"")</f>
        <v>56130.344576510717</v>
      </c>
    </row>
    <row r="67" spans="1:7" x14ac:dyDescent="0.2">
      <c r="A67" s="8">
        <f>-0.1+63*$B$2</f>
        <v>-3.7000000000000005E-2</v>
      </c>
      <c r="B67" s="17">
        <f>IFERROR(('Table G'!$B$14+'Table G'!$B$15)/(1+'Table G'!$B$18)*IF(ABS(((1+$A67)/(1+'Table G'!$B$18))-1)&lt;0.000000001,5,(1-((1+$A67)/(1+'Table G'!$B$18))^5)/(1-((1+$A67)/(1+'Table G'!$B$18))))+('Table G'!$B$14+'Table G'!$B$15)*(1+$A67)^(5-1)*(1+'Table G'!$B$25)/(('Table G'!$B$18-'Table G'!$B$25)*(1+'Table G'!$B$18)^5),"")</f>
        <v>60499.525294578736</v>
      </c>
      <c r="C67" s="17">
        <f>IFERROR(('Table G'!$B$14+'Table G'!$B$15)/(1+'Table G'!$B$18)*IF(ABS(((1+$A67)/(1+'Table G'!$B$18))-1)&lt;0.000000001,10,(1-((1+$A67)/(1+'Table G'!$B$18))^10)/(1-((1+$A67)/(1+'Table G'!$B$18))))+('Table G'!$B$14+'Table G'!$B$15)*(1+$A67)^(10-1)*(1+'Table G'!$B$25)/(('Table G'!$B$18-'Table G'!$B$25)*(1+'Table G'!$B$18)^10),"")</f>
        <v>52062.922905222193</v>
      </c>
      <c r="D67" s="17">
        <f>IFERROR(('Table G'!$B$14+'Table G'!$B$15)/(1+'Table G'!$B$18)*IF(ABS(((1+$A67)/(1+'Table G'!$B$18))-1)&lt;0.000000001,5,(1-((1+$A67)/(1+'Table G'!$B$18))^5)/(1-((1+$A67)/(1+'Table G'!$B$18))))+('Table G'!$B$14+'Table G'!$B$15)*(1+$A67)^(5-1)*(1+'Table G'!$B$26)/(('Table G'!$B$18-'Table G'!$B$26)*(1+'Table G'!$B$18)^5),"")</f>
        <v>64126.324839527631</v>
      </c>
      <c r="E67" s="17">
        <f>IFERROR(('Table G'!$B$14+'Table G'!$B$15)/(1+'Table G'!$B$18)*IF(ABS(((1+$A67)/(1+'Table G'!$B$18))-1)&lt;0.000000001,10,(1-((1+$A67)/(1+'Table G'!$B$18))^10)/(1-((1+$A67)/(1+'Table G'!$B$18))))+('Table G'!$B$14+'Table G'!$B$15)*(1+$A67)^(10-1)*(1+'Table G'!$B$26)/(('Table G'!$B$18-'Table G'!$B$26)*(1+'Table G'!$B$18)^10),"")</f>
        <v>54102.981513796592</v>
      </c>
      <c r="F67" s="17">
        <f>IFERROR(('Table G'!$B$14+'Table G'!$B$15)/(1+'Table G'!$B$18)*IF(ABS(((1+$A67)/(1+'Table G'!$B$18))-1)&lt;0.000000001,5,(1-((1+$A67)/(1+'Table G'!$B$18))^5)/(1-((1+$A67)/(1+'Table G'!$B$18))))+('Table G'!$B$14+'Table G'!$B$15)*(1+$A67)^(5-1)*(1+'Table G'!$B$27)/(('Table G'!$B$18-'Table G'!$B$27)*(1+'Table G'!$B$18)^5),"")</f>
        <v>68384.481372569237</v>
      </c>
      <c r="G67" s="17">
        <f>IFERROR(('Table G'!$B$14+'Table G'!$B$15)/(1+'Table G'!$B$18)*IF(ABS(((1+$A67)/(1+'Table G'!$B$18))-1)&lt;0.000000001,10,(1-((1+$A67)/(1+'Table G'!$B$18))^10)/(1-((1+$A67)/(1+'Table G'!$B$18))))+('Table G'!$B$14+'Table G'!$B$15)*(1+$A67)^(10-1)*(1+'Table G'!$B$27)/(('Table G'!$B$18-'Table G'!$B$27)*(1+'Table G'!$B$18)^10),"")</f>
        <v>56498.175619295798</v>
      </c>
    </row>
    <row r="68" spans="1:7" x14ac:dyDescent="0.2">
      <c r="A68" s="8">
        <f>-0.1+64*$B$2</f>
        <v>-3.6000000000000004E-2</v>
      </c>
      <c r="B68" s="17">
        <f>IFERROR(('Table G'!$B$14+'Table G'!$B$15)/(1+'Table G'!$B$18)*IF(ABS(((1+$A68)/(1+'Table G'!$B$18))-1)&lt;0.000000001,5,(1-((1+$A68)/(1+'Table G'!$B$18))^5)/(1-((1+$A68)/(1+'Table G'!$B$18))))+('Table G'!$B$14+'Table G'!$B$15)*(1+$A68)^(5-1)*(1+'Table G'!$B$25)/(('Table G'!$B$18-'Table G'!$B$25)*(1+'Table G'!$B$18)^5),"")</f>
        <v>60709.393629521364</v>
      </c>
      <c r="C68" s="17">
        <f>IFERROR(('Table G'!$B$14+'Table G'!$B$15)/(1+'Table G'!$B$18)*IF(ABS(((1+$A68)/(1+'Table G'!$B$18))-1)&lt;0.000000001,10,(1-((1+$A68)/(1+'Table G'!$B$18))^10)/(1-((1+$A68)/(1+'Table G'!$B$18))))+('Table G'!$B$14+'Table G'!$B$15)*(1+$A68)^(10-1)*(1+'Table G'!$B$25)/(('Table G'!$B$18-'Table G'!$B$25)*(1+'Table G'!$B$18)^10),"")</f>
        <v>52391.843066014757</v>
      </c>
      <c r="D68" s="17">
        <f>IFERROR(('Table G'!$B$14+'Table G'!$B$15)/(1+'Table G'!$B$18)*IF(ABS(((1+$A68)/(1+'Table G'!$B$18))-1)&lt;0.000000001,5,(1-((1+$A68)/(1+'Table G'!$B$18))^5)/(1-((1+$A68)/(1+'Table G'!$B$18))))+('Table G'!$B$14+'Table G'!$B$15)*(1+$A68)^(5-1)*(1+'Table G'!$B$26)/(('Table G'!$B$18-'Table G'!$B$26)*(1+'Table G'!$B$18)^5),"")</f>
        <v>64351.28124374248</v>
      </c>
      <c r="E68" s="17">
        <f>IFERROR(('Table G'!$B$14+'Table G'!$B$15)/(1+'Table G'!$B$18)*IF(ABS(((1+$A68)/(1+'Table G'!$B$18))-1)&lt;0.000000001,10,(1-((1+$A68)/(1+'Table G'!$B$18))^10)/(1-((1+$A68)/(1+'Table G'!$B$18))))+('Table G'!$B$14+'Table G'!$B$15)*(1+$A68)^(10-1)*(1+'Table G'!$B$26)/(('Table G'!$B$18-'Table G'!$B$26)*(1+'Table G'!$B$18)^10),"")</f>
        <v>54451.047029131878</v>
      </c>
      <c r="F68" s="17">
        <f>IFERROR(('Table G'!$B$14+'Table G'!$B$15)/(1+'Table G'!$B$18)*IF(ABS(((1+$A68)/(1+'Table G'!$B$18))-1)&lt;0.000000001,5,(1-((1+$A68)/(1+'Table G'!$B$18))^5)/(1-((1+$A68)/(1+'Table G'!$B$18))))+('Table G'!$B$14+'Table G'!$B$15)*(1+$A68)^(5-1)*(1+'Table G'!$B$27)/(('Table G'!$B$18-'Table G'!$B$27)*(1+'Table G'!$B$18)^5),"")</f>
        <v>68627.15239264477</v>
      </c>
      <c r="G68" s="17">
        <f>IFERROR(('Table G'!$B$14+'Table G'!$B$15)/(1+'Table G'!$B$18)*IF(ABS(((1+$A68)/(1+'Table G'!$B$18))-1)&lt;0.000000001,10,(1-((1+$A68)/(1+'Table G'!$B$18))^10)/(1-((1+$A68)/(1+'Table G'!$B$18))))+('Table G'!$B$14+'Table G'!$B$15)*(1+$A68)^(10-1)*(1+'Table G'!$B$27)/(('Table G'!$B$18-'Table G'!$B$27)*(1+'Table G'!$B$18)^10),"")</f>
        <v>56868.719332147404</v>
      </c>
    </row>
    <row r="69" spans="1:7" x14ac:dyDescent="0.2">
      <c r="A69" s="8">
        <f>-0.1+65*$B$2</f>
        <v>-3.5000000000000003E-2</v>
      </c>
      <c r="B69" s="17">
        <f>IFERROR(('Table G'!$B$14+'Table G'!$B$15)/(1+'Table G'!$B$18)*IF(ABS(((1+$A69)/(1+'Table G'!$B$18))-1)&lt;0.000000001,5,(1-((1+$A69)/(1+'Table G'!$B$18))^5)/(1-((1+$A69)/(1+'Table G'!$B$18))))+('Table G'!$B$14+'Table G'!$B$15)*(1+$A69)^(5-1)*(1+'Table G'!$B$25)/(('Table G'!$B$18-'Table G'!$B$25)*(1+'Table G'!$B$18)^5),"")</f>
        <v>60919.87751022572</v>
      </c>
      <c r="C69" s="17">
        <f>IFERROR(('Table G'!$B$14+'Table G'!$B$15)/(1+'Table G'!$B$18)*IF(ABS(((1+$A69)/(1+'Table G'!$B$18))-1)&lt;0.000000001,10,(1-((1+$A69)/(1+'Table G'!$B$18))^10)/(1-((1+$A69)/(1+'Table G'!$B$18))))+('Table G'!$B$14+'Table G'!$B$15)*(1+$A69)^(10-1)*(1+'Table G'!$B$25)/(('Table G'!$B$18-'Table G'!$B$25)*(1+'Table G'!$B$18)^10),"")</f>
        <v>52723.147684523035</v>
      </c>
      <c r="D69" s="17">
        <f>IFERROR(('Table G'!$B$14+'Table G'!$B$15)/(1+'Table G'!$B$18)*IF(ABS(((1+$A69)/(1+'Table G'!$B$18))-1)&lt;0.000000001,5,(1-((1+$A69)/(1+'Table G'!$B$18))^5)/(1-((1+$A69)/(1+'Table G'!$B$18))))+('Table G'!$B$14+'Table G'!$B$15)*(1+$A69)^(5-1)*(1+'Table G'!$B$26)/(('Table G'!$B$18-'Table G'!$B$26)*(1+'Table G'!$B$18)^5),"")</f>
        <v>64576.90022142521</v>
      </c>
      <c r="E69" s="17">
        <f>IFERROR(('Table G'!$B$14+'Table G'!$B$15)/(1+'Table G'!$B$18)*IF(ABS(((1+$A69)/(1+'Table G'!$B$18))-1)&lt;0.000000001,10,(1-((1+$A69)/(1+'Table G'!$B$18))^10)/(1-((1+$A69)/(1+'Table G'!$B$18))))+('Table G'!$B$14+'Table G'!$B$15)*(1+$A69)^(10-1)*(1+'Table G'!$B$26)/(('Table G'!$B$18-'Table G'!$B$26)*(1+'Table G'!$B$18)^10),"")</f>
        <v>54801.656545798411</v>
      </c>
      <c r="F69" s="17">
        <f>IFERROR(('Table G'!$B$14+'Table G'!$B$15)/(1+'Table G'!$B$18)*IF(ABS(((1+$A69)/(1+'Table G'!$B$18))-1)&lt;0.000000001,5,(1-((1+$A69)/(1+'Table G'!$B$18))^5)/(1-((1+$A69)/(1+'Table G'!$B$18))))+('Table G'!$B$14+'Table G'!$B$15)*(1+$A69)^(5-1)*(1+'Table G'!$B$27)/(('Table G'!$B$18-'Table G'!$B$27)*(1+'Table G'!$B$18)^5),"")</f>
        <v>68870.541200525695</v>
      </c>
      <c r="G69" s="17">
        <f>IFERROR(('Table G'!$B$14+'Table G'!$B$15)/(1+'Table G'!$B$18)*IF(ABS(((1+$A69)/(1+'Table G'!$B$18))-1)&lt;0.000000001,10,(1-((1+$A69)/(1+'Table G'!$B$18))^10)/(1-((1+$A69)/(1+'Table G'!$B$18))))+('Table G'!$B$14+'Table G'!$B$15)*(1+$A69)^(10-1)*(1+'Table G'!$B$27)/(('Table G'!$B$18-'Table G'!$B$27)*(1+'Table G'!$B$18)^10),"")</f>
        <v>57241.994363462189</v>
      </c>
    </row>
    <row r="70" spans="1:7" x14ac:dyDescent="0.2">
      <c r="A70" s="8">
        <f>-0.1+66*$B$2</f>
        <v>-3.4000000000000002E-2</v>
      </c>
      <c r="B70" s="17">
        <f>IFERROR(('Table G'!$B$14+'Table G'!$B$15)/(1+'Table G'!$B$18)*IF(ABS(((1+$A70)/(1+'Table G'!$B$18))-1)&lt;0.000000001,5,(1-((1+$A70)/(1+'Table G'!$B$18))^5)/(1-((1+$A70)/(1+'Table G'!$B$18))))+('Table G'!$B$14+'Table G'!$B$15)*(1+$A70)^(5-1)*(1+'Table G'!$B$25)/(('Table G'!$B$18-'Table G'!$B$25)*(1+'Table G'!$B$18)^5),"")</f>
        <v>61130.97817715189</v>
      </c>
      <c r="C70" s="17">
        <f>IFERROR(('Table G'!$B$14+'Table G'!$B$15)/(1+'Table G'!$B$18)*IF(ABS(((1+$A70)/(1+'Table G'!$B$18))-1)&lt;0.000000001,10,(1-((1+$A70)/(1+'Table G'!$B$18))^10)/(1-((1+$A70)/(1+'Table G'!$B$18))))+('Table G'!$B$14+'Table G'!$B$15)*(1+$A70)^(10-1)*(1+'Table G'!$B$25)/(('Table G'!$B$18-'Table G'!$B$25)*(1+'Table G'!$B$18)^10),"")</f>
        <v>53056.852995160749</v>
      </c>
      <c r="D70" s="17">
        <f>IFERROR(('Table G'!$B$14+'Table G'!$B$15)/(1+'Table G'!$B$18)*IF(ABS(((1+$A70)/(1+'Table G'!$B$18))-1)&lt;0.000000001,5,(1-((1+$A70)/(1+'Table G'!$B$18))^5)/(1-((1+$A70)/(1+'Table G'!$B$18))))+('Table G'!$B$14+'Table G'!$B$15)*(1+$A70)^(5-1)*(1+'Table G'!$B$26)/(('Table G'!$B$18-'Table G'!$B$26)*(1+'Table G'!$B$18)^5),"")</f>
        <v>64803.183110654332</v>
      </c>
      <c r="E70" s="17">
        <f>IFERROR(('Table G'!$B$14+'Table G'!$B$15)/(1+'Table G'!$B$18)*IF(ABS(((1+$A70)/(1+'Table G'!$B$18))-1)&lt;0.000000001,10,(1-((1+$A70)/(1+'Table G'!$B$18))^10)/(1-((1+$A70)/(1+'Table G'!$B$18))))+('Table G'!$B$14+'Table G'!$B$15)*(1+$A70)^(10-1)*(1+'Table G'!$B$26)/(('Table G'!$B$18-'Table G'!$B$26)*(1+'Table G'!$B$18)^10),"")</f>
        <v>55154.827460331959</v>
      </c>
      <c r="F70" s="17">
        <f>IFERROR(('Table G'!$B$14+'Table G'!$B$15)/(1+'Table G'!$B$18)*IF(ABS(((1+$A70)/(1+'Table G'!$B$18))-1)&lt;0.000000001,5,(1-((1+$A70)/(1+'Table G'!$B$18))^5)/(1-((1+$A70)/(1+'Table G'!$B$18))))+('Table G'!$B$14+'Table G'!$B$15)*(1+$A70)^(5-1)*(1+'Table G'!$B$27)/(('Table G'!$B$18-'Table G'!$B$27)*(1+'Table G'!$B$18)^5),"")</f>
        <v>69114.649248902482</v>
      </c>
      <c r="G70" s="17">
        <f>IFERROR(('Table G'!$B$14+'Table G'!$B$15)/(1+'Table G'!$B$18)*IF(ABS(((1+$A70)/(1+'Table G'!$B$18))-1)&lt;0.000000001,10,(1-((1+$A70)/(1+'Table G'!$B$18))^10)/(1-((1+$A70)/(1+'Table G'!$B$18))))+('Table G'!$B$14+'Table G'!$B$15)*(1+$A70)^(10-1)*(1+'Table G'!$B$27)/(('Table G'!$B$18-'Table G'!$B$27)*(1+'Table G'!$B$18)^10),"")</f>
        <v>57618.019474201355</v>
      </c>
    </row>
    <row r="71" spans="1:7" x14ac:dyDescent="0.2">
      <c r="A71" s="8">
        <f>-0.1+67*$B$2</f>
        <v>-3.3000000000000002E-2</v>
      </c>
      <c r="B71" s="17">
        <f>IFERROR(('Table G'!$B$14+'Table G'!$B$15)/(1+'Table G'!$B$18)*IF(ABS(((1+$A71)/(1+'Table G'!$B$18))-1)&lt;0.000000001,5,(1-((1+$A71)/(1+'Table G'!$B$18))^5)/(1-((1+$A71)/(1+'Table G'!$B$18))))+('Table G'!$B$14+'Table G'!$B$15)*(1+$A71)^(5-1)*(1+'Table G'!$B$25)/(('Table G'!$B$18-'Table G'!$B$25)*(1+'Table G'!$B$18)^5),"")</f>
        <v>61342.696872023931</v>
      </c>
      <c r="C71" s="17">
        <f>IFERROR(('Table G'!$B$14+'Table G'!$B$15)/(1+'Table G'!$B$18)*IF(ABS(((1+$A71)/(1+'Table G'!$B$18))-1)&lt;0.000000001,10,(1-((1+$A71)/(1+'Table G'!$B$18))^10)/(1-((1+$A71)/(1+'Table G'!$B$18))))+('Table G'!$B$14+'Table G'!$B$15)*(1+$A71)^(10-1)*(1+'Table G'!$B$25)/(('Table G'!$B$18-'Table G'!$B$25)*(1+'Table G'!$B$18)^10),"")</f>
        <v>53392.975329720532</v>
      </c>
      <c r="D71" s="17">
        <f>IFERROR(('Table G'!$B$14+'Table G'!$B$15)/(1+'Table G'!$B$18)*IF(ABS(((1+$A71)/(1+'Table G'!$B$18))-1)&lt;0.000000001,5,(1-((1+$A71)/(1+'Table G'!$B$18))^5)/(1-((1+$A71)/(1+'Table G'!$B$18))))+('Table G'!$B$14+'Table G'!$B$15)*(1+$A71)^(5-1)*(1+'Table G'!$B$26)/(('Table G'!$B$18-'Table G'!$B$26)*(1+'Table G'!$B$18)^5),"")</f>
        <v>65030.131250873565</v>
      </c>
      <c r="E71" s="17">
        <f>IFERROR(('Table G'!$B$14+'Table G'!$B$15)/(1+'Table G'!$B$18)*IF(ABS(((1+$A71)/(1+'Table G'!$B$18))-1)&lt;0.000000001,10,(1-((1+$A71)/(1+'Table G'!$B$18))^10)/(1-((1+$A71)/(1+'Table G'!$B$18))))+('Table G'!$B$14+'Table G'!$B$15)*(1+$A71)^(10-1)*(1+'Table G'!$B$26)/(('Table G'!$B$18-'Table G'!$B$26)*(1+'Table G'!$B$18)^10),"")</f>
        <v>55510.577273895338</v>
      </c>
      <c r="F71" s="17">
        <f>IFERROR(('Table G'!$B$14+'Table G'!$B$15)/(1+'Table G'!$B$18)*IF(ABS(((1+$A71)/(1+'Table G'!$B$18))-1)&lt;0.000000001,5,(1-((1+$A71)/(1+'Table G'!$B$18))^5)/(1-((1+$A71)/(1+'Table G'!$B$18))))+('Table G'!$B$14+'Table G'!$B$15)*(1+$A71)^(5-1)*(1+'Table G'!$B$27)/(('Table G'!$B$18-'Table G'!$B$27)*(1+'Table G'!$B$18)^5),"")</f>
        <v>69359.47799194965</v>
      </c>
      <c r="G71" s="17">
        <f>IFERROR(('Table G'!$B$14+'Table G'!$B$15)/(1+'Table G'!$B$18)*IF(ABS(((1+$A71)/(1+'Table G'!$B$18))-1)&lt;0.000000001,10,(1-((1+$A71)/(1+'Table G'!$B$18))^10)/(1-((1+$A71)/(1+'Table G'!$B$18))))+('Table G'!$B$14+'Table G'!$B$15)*(1+$A71)^(10-1)*(1+'Table G'!$B$27)/(('Table G'!$B$18-'Table G'!$B$27)*(1+'Table G'!$B$18)^10),"")</f>
        <v>57996.813538463044</v>
      </c>
    </row>
    <row r="72" spans="1:7" x14ac:dyDescent="0.2">
      <c r="A72" s="8">
        <f>-0.1+68*$B$2</f>
        <v>-3.2000000000000001E-2</v>
      </c>
      <c r="B72" s="17">
        <f>IFERROR(('Table G'!$B$14+'Table G'!$B$15)/(1+'Table G'!$B$18)*IF(ABS(((1+$A72)/(1+'Table G'!$B$18))-1)&lt;0.000000001,5,(1-((1+$A72)/(1+'Table G'!$B$18))^5)/(1-((1+$A72)/(1+'Table G'!$B$18))))+('Table G'!$B$14+'Table G'!$B$15)*(1+$A72)^(5-1)*(1+'Table G'!$B$25)/(('Table G'!$B$18-'Table G'!$B$25)*(1+'Table G'!$B$18)^5),"")</f>
        <v>61555.034837829924</v>
      </c>
      <c r="C72" s="17">
        <f>IFERROR(('Table G'!$B$14+'Table G'!$B$15)/(1+'Table G'!$B$18)*IF(ABS(((1+$A72)/(1+'Table G'!$B$18))-1)&lt;0.000000001,10,(1-((1+$A72)/(1+'Table G'!$B$18))^10)/(1-((1+$A72)/(1+'Table G'!$B$18))))+('Table G'!$B$14+'Table G'!$B$15)*(1+$A72)^(10-1)*(1+'Table G'!$B$25)/(('Table G'!$B$18-'Table G'!$B$25)*(1+'Table G'!$B$18)^10),"")</f>
        <v>53731.531117867074</v>
      </c>
      <c r="D72" s="17">
        <f>IFERROR(('Table G'!$B$14+'Table G'!$B$15)/(1+'Table G'!$B$18)*IF(ABS(((1+$A72)/(1+'Table G'!$B$18))-1)&lt;0.000000001,5,(1-((1+$A72)/(1+'Table G'!$B$18))^5)/(1-((1+$A72)/(1+'Table G'!$B$18))))+('Table G'!$B$14+'Table G'!$B$15)*(1+$A72)^(5-1)*(1+'Table G'!$B$26)/(('Table G'!$B$18-'Table G'!$B$26)*(1+'Table G'!$B$18)^5),"")</f>
        <v>65257.745982891865</v>
      </c>
      <c r="E72" s="17">
        <f>IFERROR(('Table G'!$B$14+'Table G'!$B$15)/(1+'Table G'!$B$18)*IF(ABS(((1+$A72)/(1+'Table G'!$B$18))-1)&lt;0.000000001,10,(1-((1+$A72)/(1+'Table G'!$B$18))^10)/(1-((1+$A72)/(1+'Table G'!$B$18))))+('Table G'!$B$14+'Table G'!$B$15)*(1+$A72)^(10-1)*(1+'Table G'!$B$26)/(('Table G'!$B$18-'Table G'!$B$26)*(1+'Table G'!$B$18)^10),"")</f>
        <v>55868.92359280918</v>
      </c>
      <c r="F72" s="17">
        <f>IFERROR(('Table G'!$B$14+'Table G'!$B$15)/(1+'Table G'!$B$18)*IF(ABS(((1+$A72)/(1+'Table G'!$B$18))-1)&lt;0.000000001,5,(1-((1+$A72)/(1+'Table G'!$B$18))^5)/(1-((1+$A72)/(1+'Table G'!$B$18))))+('Table G'!$B$14+'Table G'!$B$15)*(1+$A72)^(5-1)*(1+'Table G'!$B$27)/(('Table G'!$B$18-'Table G'!$B$27)*(1+'Table G'!$B$18)^5),"")</f>
        <v>69605.028885325766</v>
      </c>
      <c r="G72" s="17">
        <f>IFERROR(('Table G'!$B$14+'Table G'!$B$15)/(1+'Table G'!$B$18)*IF(ABS(((1+$A72)/(1+'Table G'!$B$18))-1)&lt;0.000000001,10,(1-((1+$A72)/(1+'Table G'!$B$18))^10)/(1-((1+$A72)/(1+'Table G'!$B$18))))+('Table G'!$B$14+'Table G'!$B$15)*(1+$A72)^(10-1)*(1+'Table G'!$B$27)/(('Table G'!$B$18-'Table G'!$B$27)*(1+'Table G'!$B$18)^10),"")</f>
        <v>58378.39554405729</v>
      </c>
    </row>
    <row r="73" spans="1:7" x14ac:dyDescent="0.2">
      <c r="A73" s="8">
        <f>-0.1+69*$B$2</f>
        <v>-3.1E-2</v>
      </c>
      <c r="B73" s="17">
        <f>IFERROR(('Table G'!$B$14+'Table G'!$B$15)/(1+'Table G'!$B$18)*IF(ABS(((1+$A73)/(1+'Table G'!$B$18))-1)&lt;0.000000001,5,(1-((1+$A73)/(1+'Table G'!$B$18))^5)/(1-((1+$A73)/(1+'Table G'!$B$18))))+('Table G'!$B$14+'Table G'!$B$15)*(1+$A73)^(5-1)*(1+'Table G'!$B$25)/(('Table G'!$B$18-'Table G'!$B$25)*(1+'Table G'!$B$18)^5),"")</f>
        <v>61767.993318822024</v>
      </c>
      <c r="C73" s="17">
        <f>IFERROR(('Table G'!$B$14+'Table G'!$B$15)/(1+'Table G'!$B$18)*IF(ABS(((1+$A73)/(1+'Table G'!$B$18))-1)&lt;0.000000001,10,(1-((1+$A73)/(1+'Table G'!$B$18))^10)/(1-((1+$A73)/(1+'Table G'!$B$18))))+('Table G'!$B$14+'Table G'!$B$15)*(1+$A73)^(10-1)*(1+'Table G'!$B$25)/(('Table G'!$B$18-'Table G'!$B$25)*(1+'Table G'!$B$18)^10),"")</f>
        <v>54072.536887632195</v>
      </c>
      <c r="D73" s="17">
        <f>IFERROR(('Table G'!$B$14+'Table G'!$B$15)/(1+'Table G'!$B$18)*IF(ABS(((1+$A73)/(1+'Table G'!$B$18))-1)&lt;0.000000001,5,(1-((1+$A73)/(1+'Table G'!$B$18))^5)/(1-((1+$A73)/(1+'Table G'!$B$18))))+('Table G'!$B$14+'Table G'!$B$15)*(1+$A73)^(5-1)*(1+'Table G'!$B$26)/(('Table G'!$B$18-'Table G'!$B$26)*(1+'Table G'!$B$18)^5),"")</f>
        <v>65486.028648883446</v>
      </c>
      <c r="E73" s="17">
        <f>IFERROR(('Table G'!$B$14+'Table G'!$B$15)/(1+'Table G'!$B$18)*IF(ABS(((1+$A73)/(1+'Table G'!$B$18))-1)&lt;0.000000001,10,(1-((1+$A73)/(1+'Table G'!$B$18))^10)/(1-((1+$A73)/(1+'Table G'!$B$18))))+('Table G'!$B$14+'Table G'!$B$15)*(1+$A73)^(10-1)*(1+'Table G'!$B$26)/(('Table G'!$B$18-'Table G'!$B$26)*(1+'Table G'!$B$18)^10),"")</f>
        <v>56229.884129084778</v>
      </c>
      <c r="F73" s="17">
        <f>IFERROR(('Table G'!$B$14+'Table G'!$B$15)/(1+'Table G'!$B$18)*IF(ABS(((1+$A73)/(1+'Table G'!$B$18))-1)&lt;0.000000001,5,(1-((1+$A73)/(1+'Table G'!$B$18))^5)/(1-((1+$A73)/(1+'Table G'!$B$18))))+('Table G'!$B$14+'Table G'!$B$15)*(1+$A73)^(5-1)*(1+'Table G'!$B$27)/(('Table G'!$B$18-'Table G'!$B$27)*(1+'Table G'!$B$18)^5),"")</f>
        <v>69851.303386173502</v>
      </c>
      <c r="G73" s="17">
        <f>IFERROR(('Table G'!$B$14+'Table G'!$B$15)/(1+'Table G'!$B$18)*IF(ABS(((1+$A73)/(1+'Table G'!$B$18))-1)&lt;0.000000001,10,(1-((1+$A73)/(1+'Table G'!$B$18))^10)/(1-((1+$A73)/(1+'Table G'!$B$18))))+('Table G'!$B$14+'Table G'!$B$15)*(1+$A73)^(10-1)*(1+'Table G'!$B$27)/(('Table G'!$B$18-'Table G'!$B$27)*(1+'Table G'!$B$18)^10),"")</f>
        <v>58762.784593083255</v>
      </c>
    </row>
    <row r="74" spans="1:7" x14ac:dyDescent="0.2">
      <c r="A74" s="8">
        <f>-0.1+70*$B$2</f>
        <v>-0.03</v>
      </c>
      <c r="B74" s="17">
        <f>IFERROR(('Table G'!$B$14+'Table G'!$B$15)/(1+'Table G'!$B$18)*IF(ABS(((1+$A74)/(1+'Table G'!$B$18))-1)&lt;0.000000001,5,(1-((1+$A74)/(1+'Table G'!$B$18))^5)/(1-((1+$A74)/(1+'Table G'!$B$18))))+('Table G'!$B$14+'Table G'!$B$15)*(1+$A74)^(5-1)*(1+'Table G'!$B$25)/(('Table G'!$B$18-'Table G'!$B$25)*(1+'Table G'!$B$18)^5),"")</f>
        <v>61981.573560516335</v>
      </c>
      <c r="C74" s="17">
        <f>IFERROR(('Table G'!$B$14+'Table G'!$B$15)/(1+'Table G'!$B$18)*IF(ABS(((1+$A74)/(1+'Table G'!$B$18))-1)&lt;0.000000001,10,(1-((1+$A74)/(1+'Table G'!$B$18))^10)/(1-((1+$A74)/(1+'Table G'!$B$18))))+('Table G'!$B$14+'Table G'!$B$15)*(1+$A74)^(10-1)*(1+'Table G'!$B$25)/(('Table G'!$B$18-'Table G'!$B$25)*(1+'Table G'!$B$18)^10),"")</f>
        <v>54416.009265911751</v>
      </c>
      <c r="D74" s="17">
        <f>IFERROR(('Table G'!$B$14+'Table G'!$B$15)/(1+'Table G'!$B$18)*IF(ABS(((1+$A74)/(1+'Table G'!$B$18))-1)&lt;0.000000001,5,(1-((1+$A74)/(1+'Table G'!$B$18))^5)/(1-((1+$A74)/(1+'Table G'!$B$18))))+('Table G'!$B$14+'Table G'!$B$15)*(1+$A74)^(5-1)*(1+'Table G'!$B$26)/(('Table G'!$B$18-'Table G'!$B$26)*(1+'Table G'!$B$18)^5),"")</f>
        <v>65714.980592387728</v>
      </c>
      <c r="E74" s="17">
        <f>IFERROR(('Table G'!$B$14+'Table G'!$B$15)/(1+'Table G'!$B$18)*IF(ABS(((1+$A74)/(1+'Table G'!$B$18))-1)&lt;0.000000001,10,(1-((1+$A74)/(1+'Table G'!$B$18))^10)/(1-((1+$A74)/(1+'Table G'!$B$18))))+('Table G'!$B$14+'Table G'!$B$15)*(1+$A74)^(10-1)*(1+'Table G'!$B$26)/(('Table G'!$B$18-'Table G'!$B$26)*(1+'Table G'!$B$18)^10),"")</f>
        <v>56593.476700958963</v>
      </c>
      <c r="F74" s="17">
        <f>IFERROR(('Table G'!$B$14+'Table G'!$B$15)/(1+'Table G'!$B$18)*IF(ABS(((1+$A74)/(1+'Table G'!$B$18))-1)&lt;0.000000001,5,(1-((1+$A74)/(1+'Table G'!$B$18))^5)/(1-((1+$A74)/(1+'Table G'!$B$18))))+('Table G'!$B$14+'Table G'!$B$15)*(1+$A74)^(5-1)*(1+'Table G'!$B$27)/(('Table G'!$B$18-'Table G'!$B$27)*(1+'Table G'!$B$18)^5),"")</f>
        <v>70098.302953119579</v>
      </c>
      <c r="G74" s="17">
        <f>IFERROR(('Table G'!$B$14+'Table G'!$B$15)/(1+'Table G'!$B$18)*IF(ABS(((1+$A74)/(1+'Table G'!$B$18))-1)&lt;0.000000001,10,(1-((1+$A74)/(1+'Table G'!$B$18))^10)/(1-((1+$A74)/(1+'Table G'!$B$18))))+('Table G'!$B$14+'Table G'!$B$15)*(1+$A74)^(10-1)*(1+'Table G'!$B$27)/(('Table G'!$B$18-'Table G'!$B$27)*(1+'Table G'!$B$18)^10),"")</f>
        <v>59149.999902508629</v>
      </c>
    </row>
    <row r="75" spans="1:7" x14ac:dyDescent="0.2">
      <c r="A75" s="8">
        <f>-0.1+71*$B$2</f>
        <v>-2.8999999999999998E-2</v>
      </c>
      <c r="B75" s="17">
        <f>IFERROR(('Table G'!$B$14+'Table G'!$B$15)/(1+'Table G'!$B$18)*IF(ABS(((1+$A75)/(1+'Table G'!$B$18))-1)&lt;0.000000001,5,(1-((1+$A75)/(1+'Table G'!$B$18))^5)/(1-((1+$A75)/(1+'Table G'!$B$18))))+('Table G'!$B$14+'Table G'!$B$15)*(1+$A75)^(5-1)*(1+'Table G'!$B$25)/(('Table G'!$B$18-'Table G'!$B$25)*(1+'Table G'!$B$18)^5),"")</f>
        <v>62195.776809693016</v>
      </c>
      <c r="C75" s="17">
        <f>IFERROR(('Table G'!$B$14+'Table G'!$B$15)/(1+'Table G'!$B$18)*IF(ABS(((1+$A75)/(1+'Table G'!$B$18))-1)&lt;0.000000001,10,(1-((1+$A75)/(1+'Table G'!$B$18))^10)/(1-((1+$A75)/(1+'Table G'!$B$18))))+('Table G'!$B$14+'Table G'!$B$15)*(1+$A75)^(10-1)*(1+'Table G'!$B$25)/(('Table G'!$B$18-'Table G'!$B$25)*(1+'Table G'!$B$18)^10),"")</f>
        <v>54761.964978964796</v>
      </c>
      <c r="D75" s="17">
        <f>IFERROR(('Table G'!$B$14+'Table G'!$B$15)/(1+'Table G'!$B$18)*IF(ABS(((1+$A75)/(1+'Table G'!$B$18))-1)&lt;0.000000001,5,(1-((1+$A75)/(1+'Table G'!$B$18))^5)/(1-((1+$A75)/(1+'Table G'!$B$18))))+('Table G'!$B$14+'Table G'!$B$15)*(1+$A75)^(5-1)*(1+'Table G'!$B$26)/(('Table G'!$B$18-'Table G'!$B$26)*(1+'Table G'!$B$18)^5),"")</f>
        <v>65944.603158309357</v>
      </c>
      <c r="E75" s="17">
        <f>IFERROR(('Table G'!$B$14+'Table G'!$B$15)/(1+'Table G'!$B$18)*IF(ABS(((1+$A75)/(1+'Table G'!$B$18))-1)&lt;0.000000001,10,(1-((1+$A75)/(1+'Table G'!$B$18))^10)/(1-((1+$A75)/(1+'Table G'!$B$18))))+('Table G'!$B$14+'Table G'!$B$15)*(1+$A75)^(10-1)*(1+'Table G'!$B$26)/(('Table G'!$B$18-'Table G'!$B$26)*(1+'Table G'!$B$18)^10),"")</f>
        <v>56959.71923343141</v>
      </c>
      <c r="F75" s="17">
        <f>IFERROR(('Table G'!$B$14+'Table G'!$B$15)/(1+'Table G'!$B$18)*IF(ABS(((1+$A75)/(1+'Table G'!$B$18))-1)&lt;0.000000001,5,(1-((1+$A75)/(1+'Table G'!$B$18))^5)/(1-((1+$A75)/(1+'Table G'!$B$18))))+('Table G'!$B$14+'Table G'!$B$15)*(1+$A75)^(5-1)*(1+'Table G'!$B$27)/(('Table G'!$B$18-'Table G'!$B$27)*(1+'Table G'!$B$18)^5),"")</f>
        <v>70346.029046274722</v>
      </c>
      <c r="G75" s="17">
        <f>IFERROR(('Table G'!$B$14+'Table G'!$B$15)/(1+'Table G'!$B$18)*IF(ABS(((1+$A75)/(1+'Table G'!$B$18))-1)&lt;0.000000001,10,(1-((1+$A75)/(1+'Table G'!$B$18))^10)/(1-((1+$A75)/(1+'Table G'!$B$18))))+('Table G'!$B$14+'Table G'!$B$15)*(1+$A75)^(10-1)*(1+'Table G'!$B$27)/(('Table G'!$B$18-'Table G'!$B$27)*(1+'Table G'!$B$18)^10),"")</f>
        <v>59540.060804751651</v>
      </c>
    </row>
    <row r="76" spans="1:7" x14ac:dyDescent="0.2">
      <c r="A76" s="8">
        <f>-0.1+72*$B$2</f>
        <v>-2.7999999999999997E-2</v>
      </c>
      <c r="B76" s="17">
        <f>IFERROR(('Table G'!$B$14+'Table G'!$B$15)/(1+'Table G'!$B$18)*IF(ABS(((1+$A76)/(1+'Table G'!$B$18))-1)&lt;0.000000001,5,(1-((1+$A76)/(1+'Table G'!$B$18))^5)/(1-((1+$A76)/(1+'Table G'!$B$18))))+('Table G'!$B$14+'Table G'!$B$15)*(1+$A76)^(5-1)*(1+'Table G'!$B$25)/(('Table G'!$B$18-'Table G'!$B$25)*(1+'Table G'!$B$18)^5),"")</f>
        <v>62410.60431439626</v>
      </c>
      <c r="C76" s="17">
        <f>IFERROR(('Table G'!$B$14+'Table G'!$B$15)/(1+'Table G'!$B$18)*IF(ABS(((1+$A76)/(1+'Table G'!$B$18))-1)&lt;0.000000001,10,(1-((1+$A76)/(1+'Table G'!$B$18))^10)/(1-((1+$A76)/(1+'Table G'!$B$18))))+('Table G'!$B$14+'Table G'!$B$15)*(1+$A76)^(10-1)*(1+'Table G'!$B$25)/(('Table G'!$B$18-'Table G'!$B$25)*(1+'Table G'!$B$18)^10),"")</f>
        <v>55110.420852914802</v>
      </c>
      <c r="D76" s="17">
        <f>IFERROR(('Table G'!$B$14+'Table G'!$B$15)/(1+'Table G'!$B$18)*IF(ABS(((1+$A76)/(1+'Table G'!$B$18))-1)&lt;0.000000001,5,(1-((1+$A76)/(1+'Table G'!$B$18))^5)/(1-((1+$A76)/(1+'Table G'!$B$18))))+('Table G'!$B$14+'Table G'!$B$15)*(1+$A76)^(5-1)*(1+'Table G'!$B$26)/(('Table G'!$B$18-'Table G'!$B$26)*(1+'Table G'!$B$18)^5),"")</f>
        <v>66174.897692918224</v>
      </c>
      <c r="E76" s="17">
        <f>IFERROR(('Table G'!$B$14+'Table G'!$B$15)/(1+'Table G'!$B$18)*IF(ABS(((1+$A76)/(1+'Table G'!$B$18))-1)&lt;0.000000001,10,(1-((1+$A76)/(1+'Table G'!$B$18))^10)/(1-((1+$A76)/(1+'Table G'!$B$18))))+('Table G'!$B$14+'Table G'!$B$15)*(1+$A76)^(10-1)*(1+'Table G'!$B$26)/(('Table G'!$B$18-'Table G'!$B$26)*(1+'Table G'!$B$18)^10),"")</f>
        <v>57328.629758804018</v>
      </c>
      <c r="F76" s="17">
        <f>IFERROR(('Table G'!$B$14+'Table G'!$B$15)/(1+'Table G'!$B$18)*IF(ABS(((1+$A76)/(1+'Table G'!$B$18))-1)&lt;0.000000001,5,(1-((1+$A76)/(1+'Table G'!$B$18))^5)/(1-((1+$A76)/(1+'Table G'!$B$18))))+('Table G'!$B$14+'Table G'!$B$15)*(1+$A76)^(5-1)*(1+'Table G'!$B$27)/(('Table G'!$B$18-'Table G'!$B$27)*(1+'Table G'!$B$18)^5),"")</f>
        <v>70594.483127233805</v>
      </c>
      <c r="G76" s="17">
        <f>IFERROR(('Table G'!$B$14+'Table G'!$B$15)/(1+'Table G'!$B$18)*IF(ABS(((1+$A76)/(1+'Table G'!$B$18))-1)&lt;0.000000001,10,(1-((1+$A76)/(1+'Table G'!$B$18))^10)/(1-((1+$A76)/(1+'Table G'!$B$18))))+('Table G'!$B$14+'Table G'!$B$15)*(1+$A76)^(10-1)*(1+'Table G'!$B$27)/(('Table G'!$B$18-'Table G'!$B$27)*(1+'Table G'!$B$18)^10),"")</f>
        <v>59932.986748265444</v>
      </c>
    </row>
    <row r="77" spans="1:7" x14ac:dyDescent="0.2">
      <c r="A77" s="8">
        <f>-0.1+73*$B$2</f>
        <v>-2.700000000000001E-2</v>
      </c>
      <c r="B77" s="17">
        <f>IFERROR(('Table G'!$B$14+'Table G'!$B$15)/(1+'Table G'!$B$18)*IF(ABS(((1+$A77)/(1+'Table G'!$B$18))-1)&lt;0.000000001,5,(1-((1+$A77)/(1+'Table G'!$B$18))^5)/(1-((1+$A77)/(1+'Table G'!$B$18))))+('Table G'!$B$14+'Table G'!$B$15)*(1+$A77)^(5-1)*(1+'Table G'!$B$25)/(('Table G'!$B$18-'Table G'!$B$25)*(1+'Table G'!$B$18)^5),"")</f>
        <v>62626.057323934248</v>
      </c>
      <c r="C77" s="17">
        <f>IFERROR(('Table G'!$B$14+'Table G'!$B$15)/(1+'Table G'!$B$18)*IF(ABS(((1+$A77)/(1+'Table G'!$B$18))-1)&lt;0.000000001,10,(1-((1+$A77)/(1+'Table G'!$B$18))^10)/(1-((1+$A77)/(1+'Table G'!$B$18))))+('Table G'!$B$14+'Table G'!$B$15)*(1+$A77)^(10-1)*(1+'Table G'!$B$25)/(('Table G'!$B$18-'Table G'!$B$25)*(1+'Table G'!$B$18)^10),"")</f>
        <v>55461.393814252617</v>
      </c>
      <c r="D77" s="17">
        <f>IFERROR(('Table G'!$B$14+'Table G'!$B$15)/(1+'Table G'!$B$18)*IF(ABS(((1+$A77)/(1+'Table G'!$B$18))-1)&lt;0.000000001,5,(1-((1+$A77)/(1+'Table G'!$B$18))^5)/(1-((1+$A77)/(1+'Table G'!$B$18))))+('Table G'!$B$14+'Table G'!$B$15)*(1+$A77)^(5-1)*(1+'Table G'!$B$26)/(('Table G'!$B$18-'Table G'!$B$26)*(1+'Table G'!$B$18)^5),"")</f>
        <v>66405.865543849446</v>
      </c>
      <c r="E77" s="17">
        <f>IFERROR(('Table G'!$B$14+'Table G'!$B$15)/(1+'Table G'!$B$18)*IF(ABS(((1+$A77)/(1+'Table G'!$B$18))-1)&lt;0.000000001,10,(1-((1+$A77)/(1+'Table G'!$B$18))^10)/(1-((1+$A77)/(1+'Table G'!$B$18))))+('Table G'!$B$14+'Table G'!$B$15)*(1+$A77)^(10-1)*(1+'Table G'!$B$26)/(('Table G'!$B$18-'Table G'!$B$26)*(1+'Table G'!$B$18)^10),"")</f>
        <v>57700.226417222351</v>
      </c>
      <c r="F77" s="17">
        <f>IFERROR(('Table G'!$B$14+'Table G'!$B$15)/(1+'Table G'!$B$18)*IF(ABS(((1+$A77)/(1+'Table G'!$B$18))-1)&lt;0.000000001,5,(1-((1+$A77)/(1+'Table G'!$B$18))^5)/(1-((1+$A77)/(1+'Table G'!$B$18))))+('Table G'!$B$14+'Table G'!$B$15)*(1+$A77)^(5-1)*(1+'Table G'!$B$27)/(('Table G'!$B$18-'Table G'!$B$27)*(1+'Table G'!$B$18)^5),"")</f>
        <v>70843.666659075679</v>
      </c>
      <c r="G77" s="17">
        <f>IFERROR(('Table G'!$B$14+'Table G'!$B$15)/(1+'Table G'!$B$18)*IF(ABS(((1+$A77)/(1+'Table G'!$B$18))-1)&lt;0.000000001,10,(1-((1+$A77)/(1+'Table G'!$B$18))^10)/(1-((1+$A77)/(1+'Table G'!$B$18))))+('Table G'!$B$14+'Table G'!$B$15)*(1+$A77)^(10-1)*(1+'Table G'!$B$27)/(('Table G'!$B$18-'Table G'!$B$27)*(1+'Table G'!$B$18)^10),"")</f>
        <v>60328.797298124584</v>
      </c>
    </row>
    <row r="78" spans="1:7" x14ac:dyDescent="0.2">
      <c r="A78" s="8">
        <f>-0.1+74*$B$2</f>
        <v>-2.6000000000000009E-2</v>
      </c>
      <c r="B78" s="17">
        <f>IFERROR(('Table G'!$B$14+'Table G'!$B$15)/(1+'Table G'!$B$18)*IF(ABS(((1+$A78)/(1+'Table G'!$B$18))-1)&lt;0.000000001,5,(1-((1+$A78)/(1+'Table G'!$B$18))^5)/(1-((1+$A78)/(1+'Table G'!$B$18))))+('Table G'!$B$14+'Table G'!$B$15)*(1+$A78)^(5-1)*(1+'Table G'!$B$25)/(('Table G'!$B$18-'Table G'!$B$25)*(1+'Table G'!$B$18)^5),"")</f>
        <v>62842.137088879201</v>
      </c>
      <c r="C78" s="17">
        <f>IFERROR(('Table G'!$B$14+'Table G'!$B$15)/(1+'Table G'!$B$18)*IF(ABS(((1+$A78)/(1+'Table G'!$B$18))-1)&lt;0.000000001,10,(1-((1+$A78)/(1+'Table G'!$B$18))^10)/(1-((1+$A78)/(1+'Table G'!$B$18))))+('Table G'!$B$14+'Table G'!$B$15)*(1+$A78)^(10-1)*(1+'Table G'!$B$25)/(('Table G'!$B$18-'Table G'!$B$25)*(1+'Table G'!$B$18)^10),"")</f>
        <v>55814.900890341742</v>
      </c>
      <c r="D78" s="17">
        <f>IFERROR(('Table G'!$B$14+'Table G'!$B$15)/(1+'Table G'!$B$18)*IF(ABS(((1+$A78)/(1+'Table G'!$B$18))-1)&lt;0.000000001,5,(1-((1+$A78)/(1+'Table G'!$B$18))^5)/(1-((1+$A78)/(1+'Table G'!$B$18))))+('Table G'!$B$14+'Table G'!$B$15)*(1+$A78)^(5-1)*(1+'Table G'!$B$26)/(('Table G'!$B$18-'Table G'!$B$26)*(1+'Table G'!$B$18)^5),"")</f>
        <v>66637.508060103384</v>
      </c>
      <c r="E78" s="17">
        <f>IFERROR(('Table G'!$B$14+'Table G'!$B$15)/(1+'Table G'!$B$18)*IF(ABS(((1+$A78)/(1+'Table G'!$B$18))-1)&lt;0.000000001,10,(1-((1+$A78)/(1+'Table G'!$B$18))^10)/(1-((1+$A78)/(1+'Table G'!$B$18))))+('Table G'!$B$14+'Table G'!$B$15)*(1+$A78)^(10-1)*(1+'Table G'!$B$26)/(('Table G'!$B$18-'Table G'!$B$26)*(1+'Table G'!$B$18)^10),"")</f>
        <v>58074.527457219519</v>
      </c>
      <c r="F78" s="17">
        <f>IFERROR(('Table G'!$B$14+'Table G'!$B$15)/(1+'Table G'!$B$18)*IF(ABS(((1+$A78)/(1+'Table G'!$B$18))-1)&lt;0.000000001,5,(1-((1+$A78)/(1+'Table G'!$B$18))^5)/(1-((1+$A78)/(1+'Table G'!$B$18))))+('Table G'!$B$14+'Table G'!$B$15)*(1+$A78)^(5-1)*(1+'Table G'!$B$27)/(('Table G'!$B$18-'Table G'!$B$27)*(1+'Table G'!$B$18)^5),"")</f>
        <v>71093.581106363345</v>
      </c>
      <c r="G78" s="17">
        <f>IFERROR(('Table G'!$B$14+'Table G'!$B$15)/(1+'Table G'!$B$18)*IF(ABS(((1+$A78)/(1+'Table G'!$B$18))-1)&lt;0.000000001,10,(1-((1+$A78)/(1+'Table G'!$B$18))^10)/(1-((1+$A78)/(1+'Table G'!$B$18))))+('Table G'!$B$14+'Table G'!$B$15)*(1+$A78)^(10-1)*(1+'Table G'!$B$27)/(('Table G'!$B$18-'Table G'!$B$27)*(1+'Table G'!$B$18)^10),"")</f>
        <v>60727.512136614198</v>
      </c>
    </row>
    <row r="79" spans="1:7" x14ac:dyDescent="0.2">
      <c r="A79" s="8">
        <f>-0.1+75*$B$2</f>
        <v>-2.5000000000000008E-2</v>
      </c>
      <c r="B79" s="17">
        <f>IFERROR(('Table G'!$B$14+'Table G'!$B$15)/(1+'Table G'!$B$18)*IF(ABS(((1+$A79)/(1+'Table G'!$B$18))-1)&lt;0.000000001,5,(1-((1+$A79)/(1+'Table G'!$B$18))^5)/(1-((1+$A79)/(1+'Table G'!$B$18))))+('Table G'!$B$14+'Table G'!$B$15)*(1+$A79)^(5-1)*(1+'Table G'!$B$25)/(('Table G'!$B$18-'Table G'!$B$25)*(1+'Table G'!$B$18)^5),"")</f>
        <v>63058.844861067359</v>
      </c>
      <c r="C79" s="17">
        <f>IFERROR(('Table G'!$B$14+'Table G'!$B$15)/(1+'Table G'!$B$18)*IF(ABS(((1+$A79)/(1+'Table G'!$B$18))-1)&lt;0.000000001,10,(1-((1+$A79)/(1+'Table G'!$B$18))^10)/(1-((1+$A79)/(1+'Table G'!$B$18))))+('Table G'!$B$14+'Table G'!$B$15)*(1+$A79)^(10-1)*(1+'Table G'!$B$25)/(('Table G'!$B$18-'Table G'!$B$25)*(1+'Table G'!$B$18)^10),"")</f>
        <v>56170.959209925568</v>
      </c>
      <c r="D79" s="17">
        <f>IFERROR(('Table G'!$B$14+'Table G'!$B$15)/(1+'Table G'!$B$18)*IF(ABS(((1+$A79)/(1+'Table G'!$B$18))-1)&lt;0.000000001,5,(1-((1+$A79)/(1+'Table G'!$B$18))^5)/(1-((1+$A79)/(1+'Table G'!$B$18))))+('Table G'!$B$14+'Table G'!$B$15)*(1+$A79)^(5-1)*(1+'Table G'!$B$26)/(('Table G'!$B$18-'Table G'!$B$26)*(1+'Table G'!$B$18)^5),"")</f>
        <v>66869.826592045603</v>
      </c>
      <c r="E79" s="17">
        <f>IFERROR(('Table G'!$B$14+'Table G'!$B$15)/(1+'Table G'!$B$18)*IF(ABS(((1+$A79)/(1+'Table G'!$B$18))-1)&lt;0.000000001,10,(1-((1+$A79)/(1+'Table G'!$B$18))^10)/(1-((1+$A79)/(1+'Table G'!$B$18))))+('Table G'!$B$14+'Table G'!$B$15)*(1+$A79)^(10-1)*(1+'Table G'!$B$26)/(('Table G'!$B$18-'Table G'!$B$26)*(1+'Table G'!$B$18)^10),"")</f>
        <v>58451.551236262087</v>
      </c>
      <c r="F79" s="17">
        <f>IFERROR(('Table G'!$B$14+'Table G'!$B$15)/(1+'Table G'!$B$18)*IF(ABS(((1+$A79)/(1+'Table G'!$B$18))-1)&lt;0.000000001,5,(1-((1+$A79)/(1+'Table G'!$B$18))^5)/(1-((1+$A79)/(1+'Table G'!$B$18))))+('Table G'!$B$14+'Table G'!$B$15)*(1+$A79)^(5-1)*(1+'Table G'!$B$27)/(('Table G'!$B$18-'Table G'!$B$27)*(1+'Table G'!$B$18)^5),"")</f>
        <v>71344.227935143776</v>
      </c>
      <c r="G79" s="17">
        <f>IFERROR(('Table G'!$B$14+'Table G'!$B$15)/(1+'Table G'!$B$18)*IF(ABS(((1+$A79)/(1+'Table G'!$B$18))-1)&lt;0.000000001,10,(1-((1+$A79)/(1+'Table G'!$B$18))^10)/(1-((1+$A79)/(1+'Table G'!$B$18))))+('Table G'!$B$14+'Table G'!$B$15)*(1+$A79)^(10-1)*(1+'Table G'!$B$27)/(('Table G'!$B$18-'Table G'!$B$27)*(1+'Table G'!$B$18)^10),"")</f>
        <v>61129.151063821409</v>
      </c>
    </row>
    <row r="80" spans="1:7" x14ac:dyDescent="0.2">
      <c r="A80" s="8">
        <f>-0.1+76*$B$2</f>
        <v>-2.4000000000000007E-2</v>
      </c>
      <c r="B80" s="17">
        <f>IFERROR(('Table G'!$B$14+'Table G'!$B$15)/(1+'Table G'!$B$18)*IF(ABS(((1+$A80)/(1+'Table G'!$B$18))-1)&lt;0.000000001,5,(1-((1+$A80)/(1+'Table G'!$B$18))^5)/(1-((1+$A80)/(1+'Table G'!$B$18))))+('Table G'!$B$14+'Table G'!$B$15)*(1+$A80)^(5-1)*(1+'Table G'!$B$25)/(('Table G'!$B$18-'Table G'!$B$25)*(1+'Table G'!$B$18)^5),"")</f>
        <v>63276.181893598965</v>
      </c>
      <c r="C80" s="17">
        <f>IFERROR(('Table G'!$B$14+'Table G'!$B$15)/(1+'Table G'!$B$18)*IF(ABS(((1+$A80)/(1+'Table G'!$B$18))-1)&lt;0.000000001,10,(1-((1+$A80)/(1+'Table G'!$B$18))^10)/(1-((1+$A80)/(1+'Table G'!$B$18))))+('Table G'!$B$14+'Table G'!$B$15)*(1+$A80)^(10-1)*(1+'Table G'!$B$25)/(('Table G'!$B$18-'Table G'!$B$25)*(1+'Table G'!$B$18)^10),"")</f>
        <v>56529.586003636687</v>
      </c>
      <c r="D80" s="17">
        <f>IFERROR(('Table G'!$B$14+'Table G'!$B$15)/(1+'Table G'!$B$18)*IF(ABS(((1+$A80)/(1+'Table G'!$B$18))-1)&lt;0.000000001,5,(1-((1+$A80)/(1+'Table G'!$B$18))^5)/(1-((1+$A80)/(1+'Table G'!$B$18))))+('Table G'!$B$14+'Table G'!$B$15)*(1+$A80)^(5-1)*(1+'Table G'!$B$26)/(('Table G'!$B$18-'Table G'!$B$26)*(1+'Table G'!$B$18)^5),"")</f>
        <v>67102.822491406958</v>
      </c>
      <c r="E80" s="17">
        <f>IFERROR(('Table G'!$B$14+'Table G'!$B$15)/(1+'Table G'!$B$18)*IF(ABS(((1+$A80)/(1+'Table G'!$B$18))-1)&lt;0.000000001,10,(1-((1+$A80)/(1+'Table G'!$B$18))^10)/(1-((1+$A80)/(1+'Table G'!$B$18))))+('Table G'!$B$14+'Table G'!$B$15)*(1+$A80)^(10-1)*(1+'Table G'!$B$26)/(('Table G'!$B$18-'Table G'!$B$26)*(1+'Table G'!$B$18)^10),"")</f>
        <v>58831.316221298301</v>
      </c>
      <c r="F80" s="17">
        <f>IFERROR(('Table G'!$B$14+'Table G'!$B$15)/(1+'Table G'!$B$18)*IF(ABS(((1+$A80)/(1+'Table G'!$B$18))-1)&lt;0.000000001,5,(1-((1+$A80)/(1+'Table G'!$B$18))^5)/(1-((1+$A80)/(1+'Table G'!$B$18))))+('Table G'!$B$14+'Table G'!$B$15)*(1+$A80)^(5-1)*(1+'Table G'!$B$27)/(('Table G'!$B$18-'Table G'!$B$27)*(1+'Table G'!$B$18)^5),"")</f>
        <v>71595.608612948112</v>
      </c>
      <c r="G80" s="17">
        <f>IFERROR(('Table G'!$B$14+'Table G'!$B$15)/(1+'Table G'!$B$18)*IF(ABS(((1+$A80)/(1+'Table G'!$B$18))-1)&lt;0.000000001,10,(1-((1+$A80)/(1+'Table G'!$B$18))^10)/(1-((1+$A80)/(1+'Table G'!$B$18))))+('Table G'!$B$14+'Table G'!$B$15)*(1+$A80)^(10-1)*(1+'Table G'!$B$27)/(('Table G'!$B$18-'Table G'!$B$27)*(1+'Table G'!$B$18)^10),"")</f>
        <v>61533.733998229261</v>
      </c>
    </row>
    <row r="81" spans="1:7" x14ac:dyDescent="0.2">
      <c r="A81" s="8">
        <f>-0.1+77*$B$2</f>
        <v>-2.3000000000000007E-2</v>
      </c>
      <c r="B81" s="17">
        <f>IFERROR(('Table G'!$B$14+'Table G'!$B$15)/(1+'Table G'!$B$18)*IF(ABS(((1+$A81)/(1+'Table G'!$B$18))-1)&lt;0.000000001,5,(1-((1+$A81)/(1+'Table G'!$B$18))^5)/(1-((1+$A81)/(1+'Table G'!$B$18))))+('Table G'!$B$14+'Table G'!$B$15)*(1+$A81)^(5-1)*(1+'Table G'!$B$25)/(('Table G'!$B$18-'Table G'!$B$25)*(1+'Table G'!$B$18)^5),"")</f>
        <v>63494.149440838308</v>
      </c>
      <c r="C81" s="17">
        <f>IFERROR(('Table G'!$B$14+'Table G'!$B$15)/(1+'Table G'!$B$18)*IF(ABS(((1+$A81)/(1+'Table G'!$B$18))-1)&lt;0.000000001,10,(1-((1+$A81)/(1+'Table G'!$B$18))^10)/(1-((1+$A81)/(1+'Table G'!$B$18))))+('Table G'!$B$14+'Table G'!$B$15)*(1+$A81)^(10-1)*(1+'Table G'!$B$25)/(('Table G'!$B$18-'Table G'!$B$25)*(1+'Table G'!$B$18)^10),"")</f>
        <v>56890.798604508163</v>
      </c>
      <c r="D81" s="17">
        <f>IFERROR(('Table G'!$B$14+'Table G'!$B$15)/(1+'Table G'!$B$18)*IF(ABS(((1+$A81)/(1+'Table G'!$B$18))-1)&lt;0.000000001,5,(1-((1+$A81)/(1+'Table G'!$B$18))^5)/(1-((1+$A81)/(1+'Table G'!$B$18))))+('Table G'!$B$14+'Table G'!$B$15)*(1+$A81)^(5-1)*(1+'Table G'!$B$26)/(('Table G'!$B$18-'Table G'!$B$26)*(1+'Table G'!$B$18)^5),"")</f>
        <v>67336.497111283432</v>
      </c>
      <c r="E81" s="17">
        <f>IFERROR(('Table G'!$B$14+'Table G'!$B$15)/(1+'Table G'!$B$18)*IF(ABS(((1+$A81)/(1+'Table G'!$B$18))-1)&lt;0.000000001,10,(1-((1+$A81)/(1+'Table G'!$B$18))^10)/(1-((1+$A81)/(1+'Table G'!$B$18))))+('Table G'!$B$14+'Table G'!$B$15)*(1+$A81)^(10-1)*(1+'Table G'!$B$26)/(('Table G'!$B$18-'Table G'!$B$26)*(1+'Table G'!$B$18)^10),"")</f>
        <v>59213.840989308432</v>
      </c>
      <c r="F81" s="17">
        <f>IFERROR(('Table G'!$B$14+'Table G'!$B$15)/(1+'Table G'!$B$18)*IF(ABS(((1+$A81)/(1+'Table G'!$B$18))-1)&lt;0.000000001,5,(1-((1+$A81)/(1+'Table G'!$B$18))^5)/(1-((1+$A81)/(1+'Table G'!$B$18))))+('Table G'!$B$14+'Table G'!$B$15)*(1+$A81)^(5-1)*(1+'Table G'!$B$27)/(('Table G'!$B$18-'Table G'!$B$27)*(1+'Table G'!$B$18)^5),"")</f>
        <v>71847.724608791454</v>
      </c>
      <c r="G81" s="17">
        <f>IFERROR(('Table G'!$B$14+'Table G'!$B$15)/(1+'Table G'!$B$18)*IF(ABS(((1+$A81)/(1+'Table G'!$B$18))-1)&lt;0.000000001,10,(1-((1+$A81)/(1+'Table G'!$B$18))^10)/(1-((1+$A81)/(1+'Table G'!$B$18))))+('Table G'!$B$14+'Table G'!$B$15)*(1+$A81)^(10-1)*(1+'Table G'!$B$27)/(('Table G'!$B$18-'Table G'!$B$27)*(1+'Table G'!$B$18)^10),"")</f>
        <v>61941.280977312832</v>
      </c>
    </row>
    <row r="82" spans="1:7" x14ac:dyDescent="0.2">
      <c r="A82" s="8">
        <f>-0.1+78*$B$2</f>
        <v>-2.2000000000000006E-2</v>
      </c>
      <c r="B82" s="17">
        <f>IFERROR(('Table G'!$B$14+'Table G'!$B$15)/(1+'Table G'!$B$18)*IF(ABS(((1+$A82)/(1+'Table G'!$B$18))-1)&lt;0.000000001,5,(1-((1+$A82)/(1+'Table G'!$B$18))^5)/(1-((1+$A82)/(1+'Table G'!$B$18))))+('Table G'!$B$14+'Table G'!$B$15)*(1+$A82)^(5-1)*(1+'Table G'!$B$25)/(('Table G'!$B$18-'Table G'!$B$25)*(1+'Table G'!$B$18)^5),"")</f>
        <v>63712.748758413683</v>
      </c>
      <c r="C82" s="17">
        <f>IFERROR(('Table G'!$B$14+'Table G'!$B$15)/(1+'Table G'!$B$18)*IF(ABS(((1+$A82)/(1+'Table G'!$B$18))-1)&lt;0.000000001,10,(1-((1+$A82)/(1+'Table G'!$B$18))^10)/(1-((1+$A82)/(1+'Table G'!$B$18))))+('Table G'!$B$14+'Table G'!$B$15)*(1+$A82)^(10-1)*(1+'Table G'!$B$25)/(('Table G'!$B$18-'Table G'!$B$25)*(1+'Table G'!$B$18)^10),"")</f>
        <v>57254.614448487016</v>
      </c>
      <c r="D82" s="17">
        <f>IFERROR(('Table G'!$B$14+'Table G'!$B$15)/(1+'Table G'!$B$18)*IF(ABS(((1+$A82)/(1+'Table G'!$B$18))-1)&lt;0.000000001,5,(1-((1+$A82)/(1+'Table G'!$B$18))^5)/(1-((1+$A82)/(1+'Table G'!$B$18))))+('Table G'!$B$14+'Table G'!$B$15)*(1+$A82)^(5-1)*(1+'Table G'!$B$26)/(('Table G'!$B$18-'Table G'!$B$26)*(1+'Table G'!$B$18)^5),"")</f>
        <v>67570.851806136343</v>
      </c>
      <c r="E82" s="17">
        <f>IFERROR(('Table G'!$B$14+'Table G'!$B$15)/(1+'Table G'!$B$18)*IF(ABS(((1+$A82)/(1+'Table G'!$B$18))-1)&lt;0.000000001,10,(1-((1+$A82)/(1+'Table G'!$B$18))^10)/(1-((1+$A82)/(1+'Table G'!$B$18))))+('Table G'!$B$14+'Table G'!$B$15)*(1+$A82)^(10-1)*(1+'Table G'!$B$26)/(('Table G'!$B$18-'Table G'!$B$26)*(1+'Table G'!$B$18)^10),"")</f>
        <v>59599.144227857483</v>
      </c>
      <c r="F82" s="17">
        <f>IFERROR(('Table G'!$B$14+'Table G'!$B$15)/(1+'Table G'!$B$18)*IF(ABS(((1+$A82)/(1+'Table G'!$B$18))-1)&lt;0.000000001,5,(1-((1+$A82)/(1+'Table G'!$B$18))^5)/(1-((1+$A82)/(1+'Table G'!$B$18))))+('Table G'!$B$14+'Table G'!$B$15)*(1+$A82)^(5-1)*(1+'Table G'!$B$27)/(('Table G'!$B$18-'Table G'!$B$27)*(1+'Table G'!$B$18)^5),"")</f>
        <v>72100.577393173007</v>
      </c>
      <c r="G82" s="17">
        <f>IFERROR(('Table G'!$B$14+'Table G'!$B$15)/(1+'Table G'!$B$18)*IF(ABS(((1+$A82)/(1+'Table G'!$B$18))-1)&lt;0.000000001,10,(1-((1+$A82)/(1+'Table G'!$B$18))^10)/(1-((1+$A82)/(1+'Table G'!$B$18))))+('Table G'!$B$14+'Table G'!$B$15)*(1+$A82)^(10-1)*(1+'Table G'!$B$27)/(('Table G'!$B$18-'Table G'!$B$27)*(1+'Table G'!$B$18)^10),"")</f>
        <v>62351.81215813804</v>
      </c>
    </row>
    <row r="83" spans="1:7" x14ac:dyDescent="0.2">
      <c r="A83" s="8">
        <f>-0.1+79*$B$2</f>
        <v>-2.1000000000000005E-2</v>
      </c>
      <c r="B83" s="17">
        <f>IFERROR(('Table G'!$B$14+'Table G'!$B$15)/(1+'Table G'!$B$18)*IF(ABS(((1+$A83)/(1+'Table G'!$B$18))-1)&lt;0.000000001,5,(1-((1+$A83)/(1+'Table G'!$B$18))^5)/(1-((1+$A83)/(1+'Table G'!$B$18))))+('Table G'!$B$14+'Table G'!$B$15)*(1+$A83)^(5-1)*(1+'Table G'!$B$25)/(('Table G'!$B$18-'Table G'!$B$25)*(1+'Table G'!$B$18)^5),"")</f>
        <v>63931.981103217397</v>
      </c>
      <c r="C83" s="17">
        <f>IFERROR(('Table G'!$B$14+'Table G'!$B$15)/(1+'Table G'!$B$18)*IF(ABS(((1+$A83)/(1+'Table G'!$B$18))-1)&lt;0.000000001,10,(1-((1+$A83)/(1+'Table G'!$B$18))^10)/(1-((1+$A83)/(1+'Table G'!$B$18))))+('Table G'!$B$14+'Table G'!$B$15)*(1+$A83)^(10-1)*(1+'Table G'!$B$25)/(('Table G'!$B$18-'Table G'!$B$25)*(1+'Table G'!$B$18)^10),"")</f>
        <v>57621.051074949661</v>
      </c>
      <c r="D83" s="17">
        <f>IFERROR(('Table G'!$B$14+'Table G'!$B$15)/(1+'Table G'!$B$18)*IF(ABS(((1+$A83)/(1+'Table G'!$B$18))-1)&lt;0.000000001,5,(1-((1+$A83)/(1+'Table G'!$B$18))^5)/(1-((1+$A83)/(1+'Table G'!$B$18))))+('Table G'!$B$14+'Table G'!$B$15)*(1+$A83)^(5-1)*(1+'Table G'!$B$26)/(('Table G'!$B$18-'Table G'!$B$26)*(1+'Table G'!$B$18)^5),"")</f>
        <v>67805.887931792211</v>
      </c>
      <c r="E83" s="17">
        <f>IFERROR(('Table G'!$B$14+'Table G'!$B$15)/(1+'Table G'!$B$18)*IF(ABS(((1+$A83)/(1+'Table G'!$B$18))-1)&lt;0.000000001,10,(1-((1+$A83)/(1+'Table G'!$B$18))^10)/(1-((1+$A83)/(1+'Table G'!$B$18))))+('Table G'!$B$14+'Table G'!$B$15)*(1+$A83)^(10-1)*(1+'Table G'!$B$26)/(('Table G'!$B$18-'Table G'!$B$26)*(1+'Table G'!$B$18)^10),"")</f>
        <v>59987.244735649976</v>
      </c>
      <c r="F83" s="17">
        <f>IFERROR(('Table G'!$B$14+'Table G'!$B$15)/(1+'Table G'!$B$18)*IF(ABS(((1+$A83)/(1+'Table G'!$B$18))-1)&lt;0.000000001,5,(1-((1+$A83)/(1+'Table G'!$B$18))^5)/(1-((1+$A83)/(1+'Table G'!$B$18))))+('Table G'!$B$14+'Table G'!$B$15)*(1+$A83)^(5-1)*(1+'Table G'!$B$27)/(('Table G'!$B$18-'Table G'!$B$27)*(1+'Table G'!$B$18)^5),"")</f>
        <v>72354.168438076056</v>
      </c>
      <c r="G83" s="17">
        <f>IFERROR(('Table G'!$B$14+'Table G'!$B$15)/(1+'Table G'!$B$18)*IF(ABS(((1+$A83)/(1+'Table G'!$B$18))-1)&lt;0.000000001,10,(1-((1+$A83)/(1+'Table G'!$B$18))^10)/(1-((1+$A83)/(1+'Table G'!$B$18))))+('Table G'!$B$14+'Table G'!$B$15)*(1+$A83)^(10-1)*(1+'Table G'!$B$27)/(('Table G'!$B$18-'Table G'!$B$27)*(1+'Table G'!$B$18)^10),"")</f>
        <v>62765.347817962633</v>
      </c>
    </row>
    <row r="84" spans="1:7" x14ac:dyDescent="0.2">
      <c r="A84" s="8">
        <f>-0.1+80*$B$2</f>
        <v>-2.0000000000000004E-2</v>
      </c>
      <c r="B84" s="17">
        <f>IFERROR(('Table G'!$B$14+'Table G'!$B$15)/(1+'Table G'!$B$18)*IF(ABS(((1+$A84)/(1+'Table G'!$B$18))-1)&lt;0.000000001,5,(1-((1+$A84)/(1+'Table G'!$B$18))^5)/(1-((1+$A84)/(1+'Table G'!$B$18))))+('Table G'!$B$14+'Table G'!$B$15)*(1+$A84)^(5-1)*(1+'Table G'!$B$25)/(('Table G'!$B$18-'Table G'!$B$25)*(1+'Table G'!$B$18)^5),"")</f>
        <v>64151.84773340579</v>
      </c>
      <c r="C84" s="17">
        <f>IFERROR(('Table G'!$B$14+'Table G'!$B$15)/(1+'Table G'!$B$18)*IF(ABS(((1+$A84)/(1+'Table G'!$B$18))-1)&lt;0.000000001,10,(1-((1+$A84)/(1+'Table G'!$B$18))^10)/(1-((1+$A84)/(1+'Table G'!$B$18))))+('Table G'!$B$14+'Table G'!$B$15)*(1+$A84)^(10-1)*(1+'Table G'!$B$25)/(('Table G'!$B$18-'Table G'!$B$25)*(1+'Table G'!$B$18)^10),"")</f>
        <v>57990.126127219512</v>
      </c>
      <c r="D84" s="17">
        <f>IFERROR(('Table G'!$B$14+'Table G'!$B$15)/(1+'Table G'!$B$18)*IF(ABS(((1+$A84)/(1+'Table G'!$B$18))-1)&lt;0.000000001,5,(1-((1+$A84)/(1+'Table G'!$B$18))^5)/(1-((1+$A84)/(1+'Table G'!$B$18))))+('Table G'!$B$14+'Table G'!$B$15)*(1+$A84)^(5-1)*(1+'Table G'!$B$26)/(('Table G'!$B$18-'Table G'!$B$26)*(1+'Table G'!$B$18)^5),"")</f>
        <v>68041.60684544273</v>
      </c>
      <c r="E84" s="17">
        <f>IFERROR(('Table G'!$B$14+'Table G'!$B$15)/(1+'Table G'!$B$18)*IF(ABS(((1+$A84)/(1+'Table G'!$B$18))-1)&lt;0.000000001,10,(1-((1+$A84)/(1+'Table G'!$B$18))^10)/(1-((1+$A84)/(1+'Table G'!$B$18))))+('Table G'!$B$14+'Table G'!$B$15)*(1+$A84)^(10-1)*(1+'Table G'!$B$26)/(('Table G'!$B$18-'Table G'!$B$26)*(1+'Table G'!$B$18)^10),"")</f>
        <v>60378.16142308712</v>
      </c>
      <c r="F84" s="17">
        <f>IFERROR(('Table G'!$B$14+'Table G'!$B$15)/(1+'Table G'!$B$18)*IF(ABS(((1+$A84)/(1+'Table G'!$B$18))-1)&lt;0.000000001,5,(1-((1+$A84)/(1+'Table G'!$B$18))^5)/(1-((1+$A84)/(1+'Table G'!$B$18))))+('Table G'!$B$14+'Table G'!$B$15)*(1+$A84)^(5-1)*(1+'Table G'!$B$27)/(('Table G'!$B$18-'Table G'!$B$27)*(1+'Table G'!$B$18)^5),"")</f>
        <v>72608.499216967903</v>
      </c>
      <c r="G84" s="17">
        <f>IFERROR(('Table G'!$B$14+'Table G'!$B$15)/(1+'Table G'!$B$18)*IF(ABS(((1+$A84)/(1+'Table G'!$B$18))-1)&lt;0.000000001,10,(1-((1+$A84)/(1+'Table G'!$B$18))^10)/(1-((1+$A84)/(1+'Table G'!$B$18))))+('Table G'!$B$14+'Table G'!$B$15)*(1+$A84)^(10-1)*(1+'Table G'!$B$27)/(('Table G'!$B$18-'Table G'!$B$27)*(1+'Table G'!$B$18)^10),"")</f>
        <v>63181.908354839812</v>
      </c>
    </row>
    <row r="85" spans="1:7" x14ac:dyDescent="0.2">
      <c r="A85" s="8">
        <f>-0.1+81*$B$2</f>
        <v>-1.9000000000000003E-2</v>
      </c>
      <c r="B85" s="17">
        <f>IFERROR(('Table G'!$B$14+'Table G'!$B$15)/(1+'Table G'!$B$18)*IF(ABS(((1+$A85)/(1+'Table G'!$B$18))-1)&lt;0.000000001,5,(1-((1+$A85)/(1+'Table G'!$B$18))^5)/(1-((1+$A85)/(1+'Table G'!$B$18))))+('Table G'!$B$14+'Table G'!$B$15)*(1+$A85)^(5-1)*(1+'Table G'!$B$25)/(('Table G'!$B$18-'Table G'!$B$25)*(1+'Table G'!$B$18)^5),"")</f>
        <v>64372.349908399221</v>
      </c>
      <c r="C85" s="17">
        <f>IFERROR(('Table G'!$B$14+'Table G'!$B$15)/(1+'Table G'!$B$18)*IF(ABS(((1+$A85)/(1+'Table G'!$B$18))-1)&lt;0.000000001,10,(1-((1+$A85)/(1+'Table G'!$B$18))^10)/(1-((1+$A85)/(1+'Table G'!$B$18))))+('Table G'!$B$14+'Table G'!$B$15)*(1+$A85)^(10-1)*(1+'Table G'!$B$25)/(('Table G'!$B$18-'Table G'!$B$25)*(1+'Table G'!$B$18)^10),"")</f>
        <v>58361.857353086642</v>
      </c>
      <c r="D85" s="17">
        <f>IFERROR(('Table G'!$B$14+'Table G'!$B$15)/(1+'Table G'!$B$18)*IF(ABS(((1+$A85)/(1+'Table G'!$B$18))-1)&lt;0.000000001,5,(1-((1+$A85)/(1+'Table G'!$B$18))^5)/(1-((1+$A85)/(1+'Table G'!$B$18))))+('Table G'!$B$14+'Table G'!$B$15)*(1+$A85)^(5-1)*(1+'Table G'!$B$26)/(('Table G'!$B$18-'Table G'!$B$26)*(1+'Table G'!$B$18)^5),"")</f>
        <v>68278.009905644896</v>
      </c>
      <c r="E85" s="17">
        <f>IFERROR(('Table G'!$B$14+'Table G'!$B$15)/(1+'Table G'!$B$18)*IF(ABS(((1+$A85)/(1+'Table G'!$B$18))-1)&lt;0.000000001,10,(1-((1+$A85)/(1+'Table G'!$B$18))^10)/(1-((1+$A85)/(1+'Table G'!$B$18))))+('Table G'!$B$14+'Table G'!$B$15)*(1+$A85)^(10-1)*(1+'Table G'!$B$26)/(('Table G'!$B$18-'Table G'!$B$26)*(1+'Table G'!$B$18)^10),"")</f>
        <v>60771.913312826131</v>
      </c>
      <c r="F85" s="17">
        <f>IFERROR(('Table G'!$B$14+'Table G'!$B$15)/(1+'Table G'!$B$18)*IF(ABS(((1+$A85)/(1+'Table G'!$B$18))-1)&lt;0.000000001,5,(1-((1+$A85)/(1+'Table G'!$B$18))^5)/(1-((1+$A85)/(1+'Table G'!$B$18))))+('Table G'!$B$14+'Table G'!$B$15)*(1+$A85)^(5-1)*(1+'Table G'!$B$27)/(('Table G'!$B$18-'Table G'!$B$27)*(1+'Table G'!$B$18)^5),"")</f>
        <v>72863.57120479997</v>
      </c>
      <c r="G85" s="17">
        <f>IFERROR(('Table G'!$B$14+'Table G'!$B$15)/(1+'Table G'!$B$18)*IF(ABS(((1+$A85)/(1+'Table G'!$B$18))-1)&lt;0.000000001,10,(1-((1+$A85)/(1+'Table G'!$B$18))^10)/(1-((1+$A85)/(1+'Table G'!$B$18))))+('Table G'!$B$14+'Table G'!$B$15)*(1+$A85)^(10-1)*(1+'Table G'!$B$27)/(('Table G'!$B$18-'Table G'!$B$27)*(1+'Table G'!$B$18)^10),"")</f>
        <v>63601.514288224163</v>
      </c>
    </row>
    <row r="86" spans="1:7" x14ac:dyDescent="0.2">
      <c r="A86" s="8">
        <f>-0.1+82*$B$2</f>
        <v>-1.8000000000000002E-2</v>
      </c>
      <c r="B86" s="17">
        <f>IFERROR(('Table G'!$B$14+'Table G'!$B$15)/(1+'Table G'!$B$18)*IF(ABS(((1+$A86)/(1+'Table G'!$B$18))-1)&lt;0.000000001,5,(1-((1+$A86)/(1+'Table G'!$B$18))^5)/(1-((1+$A86)/(1+'Table G'!$B$18))))+('Table G'!$B$14+'Table G'!$B$15)*(1+$A86)^(5-1)*(1+'Table G'!$B$25)/(('Table G'!$B$18-'Table G'!$B$25)*(1+'Table G'!$B$18)^5),"")</f>
        <v>64593.488888882057</v>
      </c>
      <c r="C86" s="17">
        <f>IFERROR(('Table G'!$B$14+'Table G'!$B$15)/(1+'Table G'!$B$18)*IF(ABS(((1+$A86)/(1+'Table G'!$B$18))-1)&lt;0.000000001,10,(1-((1+$A86)/(1+'Table G'!$B$18))^10)/(1-((1+$A86)/(1+'Table G'!$B$18))))+('Table G'!$B$14+'Table G'!$B$15)*(1+$A86)^(10-1)*(1+'Table G'!$B$25)/(('Table G'!$B$18-'Table G'!$B$25)*(1+'Table G'!$B$18)^10),"")</f>
        <v>58736.262605329437</v>
      </c>
      <c r="D86" s="17">
        <f>IFERROR(('Table G'!$B$14+'Table G'!$B$15)/(1+'Table G'!$B$18)*IF(ABS(((1+$A86)/(1+'Table G'!$B$18))-1)&lt;0.000000001,5,(1-((1+$A86)/(1+'Table G'!$B$18))^5)/(1-((1+$A86)/(1+'Table G'!$B$18))))+('Table G'!$B$14+'Table G'!$B$15)*(1+$A86)^(5-1)*(1+'Table G'!$B$26)/(('Table G'!$B$18-'Table G'!$B$26)*(1+'Table G'!$B$18)^5),"")</f>
        <v>68515.098472320911</v>
      </c>
      <c r="E86" s="17">
        <f>IFERROR(('Table G'!$B$14+'Table G'!$B$15)/(1+'Table G'!$B$18)*IF(ABS(((1+$A86)/(1+'Table G'!$B$18))-1)&lt;0.000000001,10,(1-((1+$A86)/(1+'Table G'!$B$18))^10)/(1-((1+$A86)/(1+'Table G'!$B$18))))+('Table G'!$B$14+'Table G'!$B$15)*(1+$A86)^(10-1)*(1+'Table G'!$B$26)/(('Table G'!$B$18-'Table G'!$B$26)*(1+'Table G'!$B$18)^10),"")</f>
        <v>61168.519540341826</v>
      </c>
      <c r="F86" s="17">
        <f>IFERROR(('Table G'!$B$14+'Table G'!$B$15)/(1+'Table G'!$B$18)*IF(ABS(((1+$A86)/(1+'Table G'!$B$18))-1)&lt;0.000000001,5,(1-((1+$A86)/(1+'Table G'!$B$18))^5)/(1-((1+$A86)/(1+'Table G'!$B$18))))+('Table G'!$B$14+'Table G'!$B$15)*(1+$A86)^(5-1)*(1+'Table G'!$B$27)/(('Table G'!$B$18-'Table G'!$B$27)*(1+'Table G'!$B$18)^5),"")</f>
        <v>73119.38587800767</v>
      </c>
      <c r="G86" s="17">
        <f>IFERROR(('Table G'!$B$14+'Table G'!$B$15)/(1+'Table G'!$B$18)*IF(ABS(((1+$A86)/(1+'Table G'!$B$18))-1)&lt;0.000000001,10,(1-((1+$A86)/(1+'Table G'!$B$18))^10)/(1-((1+$A86)/(1+'Table G'!$B$18))))+('Table G'!$B$14+'Table G'!$B$15)*(1+$A86)^(10-1)*(1+'Table G'!$B$27)/(('Table G'!$B$18-'Table G'!$B$27)*(1+'Table G'!$B$18)^10),"")</f>
        <v>64024.186259580012</v>
      </c>
    </row>
    <row r="87" spans="1:7" x14ac:dyDescent="0.2">
      <c r="A87" s="8">
        <f>-0.1+83*$B$2</f>
        <v>-1.7000000000000001E-2</v>
      </c>
      <c r="B87" s="17">
        <f>IFERROR(('Table G'!$B$14+'Table G'!$B$15)/(1+'Table G'!$B$18)*IF(ABS(((1+$A87)/(1+'Table G'!$B$18))-1)&lt;0.000000001,5,(1-((1+$A87)/(1+'Table G'!$B$18))^5)/(1-((1+$A87)/(1+'Table G'!$B$18))))+('Table G'!$B$14+'Table G'!$B$15)*(1+$A87)^(5-1)*(1+'Table G'!$B$25)/(('Table G'!$B$18-'Table G'!$B$25)*(1+'Table G'!$B$18)^5),"")</f>
        <v>64815.265936802709</v>
      </c>
      <c r="C87" s="17">
        <f>IFERROR(('Table G'!$B$14+'Table G'!$B$15)/(1+'Table G'!$B$18)*IF(ABS(((1+$A87)/(1+'Table G'!$B$18))-1)&lt;0.000000001,10,(1-((1+$A87)/(1+'Table G'!$B$18))^10)/(1-((1+$A87)/(1+'Table G'!$B$18))))+('Table G'!$B$14+'Table G'!$B$15)*(1+$A87)^(10-1)*(1+'Table G'!$B$25)/(('Table G'!$B$18-'Table G'!$B$25)*(1+'Table G'!$B$18)^10),"")</f>
        <v>59113.359842238533</v>
      </c>
      <c r="D87" s="17">
        <f>IFERROR(('Table G'!$B$14+'Table G'!$B$15)/(1+'Table G'!$B$18)*IF(ABS(((1+$A87)/(1+'Table G'!$B$18))-1)&lt;0.000000001,5,(1-((1+$A87)/(1+'Table G'!$B$18))^5)/(1-((1+$A87)/(1+'Table G'!$B$18))))+('Table G'!$B$14+'Table G'!$B$15)*(1+$A87)^(5-1)*(1+'Table G'!$B$26)/(('Table G'!$B$18-'Table G'!$B$26)*(1+'Table G'!$B$18)^5),"")</f>
        <v>68752.873906758206</v>
      </c>
      <c r="E87" s="17">
        <f>IFERROR(('Table G'!$B$14+'Table G'!$B$15)/(1+'Table G'!$B$18)*IF(ABS(((1+$A87)/(1+'Table G'!$B$18))-1)&lt;0.000000001,10,(1-((1+$A87)/(1+'Table G'!$B$18))^10)/(1-((1+$A87)/(1+'Table G'!$B$18))))+('Table G'!$B$14+'Table G'!$B$15)*(1+$A87)^(10-1)*(1+'Table G'!$B$26)/(('Table G'!$B$18-'Table G'!$B$26)*(1+'Table G'!$B$18)^10),"")</f>
        <v>61567.999354490516</v>
      </c>
      <c r="F87" s="17">
        <f>IFERROR(('Table G'!$B$14+'Table G'!$B$15)/(1+'Table G'!$B$18)*IF(ABS(((1+$A87)/(1+'Table G'!$B$18))-1)&lt;0.000000001,5,(1-((1+$A87)/(1+'Table G'!$B$18))^5)/(1-((1+$A87)/(1+'Table G'!$B$18))))+('Table G'!$B$14+'Table G'!$B$15)*(1+$A87)^(5-1)*(1+'Table G'!$B$27)/(('Table G'!$B$18-'Table G'!$B$27)*(1+'Table G'!$B$18)^5),"")</f>
        <v>73375.944714510522</v>
      </c>
      <c r="G87" s="17">
        <f>IFERROR(('Table G'!$B$14+'Table G'!$B$15)/(1+'Table G'!$B$18)*IF(ABS(((1+$A87)/(1+'Table G'!$B$18))-1)&lt;0.000000001,10,(1-((1+$A87)/(1+'Table G'!$B$18))^10)/(1-((1+$A87)/(1+'Table G'!$B$18))))+('Table G'!$B$14+'Table G'!$B$15)*(1+$A87)^(10-1)*(1+'Table G'!$B$27)/(('Table G'!$B$18-'Table G'!$B$27)*(1+'Table G'!$B$18)^10),"")</f>
        <v>64449.945032992327</v>
      </c>
    </row>
    <row r="88" spans="1:7" x14ac:dyDescent="0.2">
      <c r="A88" s="8">
        <f>-0.1+84*$B$2</f>
        <v>-1.6E-2</v>
      </c>
      <c r="B88" s="17">
        <f>IFERROR(('Table G'!$B$14+'Table G'!$B$15)/(1+'Table G'!$B$18)*IF(ABS(((1+$A88)/(1+'Table G'!$B$18))-1)&lt;0.000000001,5,(1-((1+$A88)/(1+'Table G'!$B$18))^5)/(1-((1+$A88)/(1+'Table G'!$B$18))))+('Table G'!$B$14+'Table G'!$B$15)*(1+$A88)^(5-1)*(1+'Table G'!$B$25)/(('Table G'!$B$18-'Table G'!$B$25)*(1+'Table G'!$B$18)^5),"")</f>
        <v>65037.682315373568</v>
      </c>
      <c r="C88" s="17">
        <f>IFERROR(('Table G'!$B$14+'Table G'!$B$15)/(1+'Table G'!$B$18)*IF(ABS(((1+$A88)/(1+'Table G'!$B$18))-1)&lt;0.000000001,10,(1-((1+$A88)/(1+'Table G'!$B$18))^10)/(1-((1+$A88)/(1+'Table G'!$B$18))))+('Table G'!$B$14+'Table G'!$B$15)*(1+$A88)^(10-1)*(1+'Table G'!$B$25)/(('Table G'!$B$18-'Table G'!$B$25)*(1+'Table G'!$B$18)^10),"")</f>
        <v>59493.167128142712</v>
      </c>
      <c r="D88" s="17">
        <f>IFERROR(('Table G'!$B$14+'Table G'!$B$15)/(1+'Table G'!$B$18)*IF(ABS(((1+$A88)/(1+'Table G'!$B$18))-1)&lt;0.000000001,5,(1-((1+$A88)/(1+'Table G'!$B$18))^5)/(1-((1+$A88)/(1+'Table G'!$B$18))))+('Table G'!$B$14+'Table G'!$B$15)*(1+$A88)^(5-1)*(1+'Table G'!$B$26)/(('Table G'!$B$18-'Table G'!$B$26)*(1+'Table G'!$B$18)^5),"")</f>
        <v>68991.337571609445</v>
      </c>
      <c r="E88" s="17">
        <f>IFERROR(('Table G'!$B$14+'Table G'!$B$15)/(1+'Table G'!$B$18)*IF(ABS(((1+$A88)/(1+'Table G'!$B$18))-1)&lt;0.000000001,10,(1-((1+$A88)/(1+'Table G'!$B$18))^10)/(1-((1+$A88)/(1+'Table G'!$B$18))))+('Table G'!$B$14+'Table G'!$B$15)*(1+$A88)^(10-1)*(1+'Table G'!$B$26)/(('Table G'!$B$18-'Table G'!$B$26)*(1+'Table G'!$B$18)^10),"")</f>
        <v>61970.37211807612</v>
      </c>
      <c r="F88" s="17">
        <f>IFERROR(('Table G'!$B$14+'Table G'!$B$15)/(1+'Table G'!$B$18)*IF(ABS(((1+$A88)/(1+'Table G'!$B$18))-1)&lt;0.000000001,5,(1-((1+$A88)/(1+'Table G'!$B$18))^5)/(1-((1+$A88)/(1+'Table G'!$B$18))))+('Table G'!$B$14+'Table G'!$B$15)*(1+$A88)^(5-1)*(1+'Table G'!$B$27)/(('Table G'!$B$18-'Table G'!$B$27)*(1+'Table G'!$B$18)^5),"")</f>
        <v>73633.249193712138</v>
      </c>
      <c r="G88" s="17">
        <f>IFERROR(('Table G'!$B$14+'Table G'!$B$15)/(1+'Table G'!$B$18)*IF(ABS(((1+$A88)/(1+'Table G'!$B$18))-1)&lt;0.000000001,10,(1-((1+$A88)/(1+'Table G'!$B$18))^10)/(1-((1+$A88)/(1+'Table G'!$B$18))))+('Table G'!$B$14+'Table G'!$B$15)*(1+$A88)^(10-1)*(1+'Table G'!$B$27)/(('Table G'!$B$18-'Table G'!$B$27)*(1+'Table G'!$B$18)^10),"")</f>
        <v>64878.811495780072</v>
      </c>
    </row>
    <row r="89" spans="1:7" x14ac:dyDescent="0.2">
      <c r="A89" s="8">
        <f>-0.1+85*$B$2</f>
        <v>-1.4999999999999999E-2</v>
      </c>
      <c r="B89" s="17">
        <f>IFERROR(('Table G'!$B$14+'Table G'!$B$15)/(1+'Table G'!$B$18)*IF(ABS(((1+$A89)/(1+'Table G'!$B$18))-1)&lt;0.000000001,5,(1-((1+$A89)/(1+'Table G'!$B$18))^5)/(1-((1+$A89)/(1+'Table G'!$B$18))))+('Table G'!$B$14+'Table G'!$B$15)*(1+$A89)^(5-1)*(1+'Table G'!$B$25)/(('Table G'!$B$18-'Table G'!$B$25)*(1+'Table G'!$B$18)^5),"")</f>
        <v>65260.739289071105</v>
      </c>
      <c r="C89" s="17">
        <f>IFERROR(('Table G'!$B$14+'Table G'!$B$15)/(1+'Table G'!$B$18)*IF(ABS(((1+$A89)/(1+'Table G'!$B$18))-1)&lt;0.000000001,10,(1-((1+$A89)/(1+'Table G'!$B$18))^10)/(1-((1+$A89)/(1+'Table G'!$B$18))))+('Table G'!$B$14+'Table G'!$B$15)*(1+$A89)^(10-1)*(1+'Table G'!$B$25)/(('Table G'!$B$18-'Table G'!$B$25)*(1+'Table G'!$B$18)^10),"")</f>
        <v>59875.70263393702</v>
      </c>
      <c r="D89" s="17">
        <f>IFERROR(('Table G'!$B$14+'Table G'!$B$15)/(1+'Table G'!$B$18)*IF(ABS(((1+$A89)/(1+'Table G'!$B$18))-1)&lt;0.000000001,5,(1-((1+$A89)/(1+'Table G'!$B$18))^5)/(1-((1+$A89)/(1+'Table G'!$B$18))))+('Table G'!$B$14+'Table G'!$B$15)*(1+$A89)^(5-1)*(1+'Table G'!$B$26)/(('Table G'!$B$18-'Table G'!$B$26)*(1+'Table G'!$B$18)^5),"")</f>
        <v>69230.490830892551</v>
      </c>
      <c r="E89" s="17">
        <f>IFERROR(('Table G'!$B$14+'Table G'!$B$15)/(1+'Table G'!$B$18)*IF(ABS(((1+$A89)/(1+'Table G'!$B$18))-1)&lt;0.000000001,10,(1-((1+$A89)/(1+'Table G'!$B$18))^10)/(1-((1+$A89)/(1+'Table G'!$B$18))))+('Table G'!$B$14+'Table G'!$B$15)*(1+$A89)^(10-1)*(1+'Table G'!$B$26)/(('Table G'!$B$18-'Table G'!$B$26)*(1+'Table G'!$B$18)^10),"")</f>
        <v>62375.657308418624</v>
      </c>
      <c r="F89" s="17">
        <f>IFERROR(('Table G'!$B$14+'Table G'!$B$15)/(1+'Table G'!$B$18)*IF(ABS(((1+$A89)/(1+'Table G'!$B$18))-1)&lt;0.000000001,5,(1-((1+$A89)/(1+'Table G'!$B$18))^5)/(1-((1+$A89)/(1+'Table G'!$B$18))))+('Table G'!$B$14+'Table G'!$B$15)*(1+$A89)^(5-1)*(1+'Table G'!$B$27)/(('Table G'!$B$18-'Table G'!$B$27)*(1+'Table G'!$B$18)^5),"")</f>
        <v>73891.300796500145</v>
      </c>
      <c r="G89" s="17">
        <f>IFERROR(('Table G'!$B$14+'Table G'!$B$15)/(1+'Table G'!$B$18)*IF(ABS(((1+$A89)/(1+'Table G'!$B$18))-1)&lt;0.000000001,10,(1-((1+$A89)/(1+'Table G'!$B$18))^10)/(1-((1+$A89)/(1+'Table G'!$B$18))))+('Table G'!$B$14+'Table G'!$B$15)*(1+$A89)^(10-1)*(1+'Table G'!$B$27)/(('Table G'!$B$18-'Table G'!$B$27)*(1+'Table G'!$B$18)^10),"")</f>
        <v>65310.806659111957</v>
      </c>
    </row>
    <row r="90" spans="1:7" x14ac:dyDescent="0.2">
      <c r="A90" s="8">
        <f>-0.1+86*$B$2</f>
        <v>-1.3999999999999999E-2</v>
      </c>
      <c r="B90" s="17">
        <f>IFERROR(('Table G'!$B$14+'Table G'!$B$15)/(1+'Table G'!$B$18)*IF(ABS(((1+$A90)/(1+'Table G'!$B$18))-1)&lt;0.000000001,5,(1-((1+$A90)/(1+'Table G'!$B$18))^5)/(1-((1+$A90)/(1+'Table G'!$B$18))))+('Table G'!$B$14+'Table G'!$B$15)*(1+$A90)^(5-1)*(1+'Table G'!$B$25)/(('Table G'!$B$18-'Table G'!$B$25)*(1+'Table G'!$B$18)^5),"")</f>
        <v>65484.438123635729</v>
      </c>
      <c r="C90" s="17">
        <f>IFERROR(('Table G'!$B$14+'Table G'!$B$15)/(1+'Table G'!$B$18)*IF(ABS(((1+$A90)/(1+'Table G'!$B$18))-1)&lt;0.000000001,10,(1-((1+$A90)/(1+'Table G'!$B$18))^10)/(1-((1+$A90)/(1+'Table G'!$B$18))))+('Table G'!$B$14+'Table G'!$B$15)*(1+$A90)^(10-1)*(1+'Table G'!$B$25)/(('Table G'!$B$18-'Table G'!$B$25)*(1+'Table G'!$B$18)^10),"")</f>
        <v>60260.984637612804</v>
      </c>
      <c r="D90" s="17">
        <f>IFERROR(('Table G'!$B$14+'Table G'!$B$15)/(1+'Table G'!$B$18)*IF(ABS(((1+$A90)/(1+'Table G'!$B$18))-1)&lt;0.000000001,5,(1-((1+$A90)/(1+'Table G'!$B$18))^5)/(1-((1+$A90)/(1+'Table G'!$B$18))))+('Table G'!$B$14+'Table G'!$B$15)*(1+$A90)^(5-1)*(1+'Table G'!$B$26)/(('Table G'!$B$18-'Table G'!$B$26)*(1+'Table G'!$B$18)^5),"")</f>
        <v>69470.335049990594</v>
      </c>
      <c r="E90" s="17">
        <f>IFERROR(('Table G'!$B$14+'Table G'!$B$15)/(1+'Table G'!$B$18)*IF(ABS(((1+$A90)/(1+'Table G'!$B$18))-1)&lt;0.000000001,10,(1-((1+$A90)/(1+'Table G'!$B$18))^10)/(1-((1+$A90)/(1+'Table G'!$B$18))))+('Table G'!$B$14+'Table G'!$B$15)*(1+$A90)^(10-1)*(1+'Table G'!$B$26)/(('Table G'!$B$18-'Table G'!$B$26)*(1+'Table G'!$B$18)^10),"")</f>
        <v>62783.874517924647</v>
      </c>
      <c r="F90" s="17">
        <f>IFERROR(('Table G'!$B$14+'Table G'!$B$15)/(1+'Table G'!$B$18)*IF(ABS(((1+$A90)/(1+'Table G'!$B$18))-1)&lt;0.000000001,5,(1-((1+$A90)/(1+'Table G'!$B$18))^5)/(1-((1+$A90)/(1+'Table G'!$B$18))))+('Table G'!$B$14+'Table G'!$B$15)*(1+$A90)^(5-1)*(1+'Table G'!$B$27)/(('Table G'!$B$18-'Table G'!$B$27)*(1+'Table G'!$B$18)^5),"")</f>
        <v>74150.101005246193</v>
      </c>
      <c r="G90" s="17">
        <f>IFERROR(('Table G'!$B$14+'Table G'!$B$15)/(1+'Table G'!$B$18)*IF(ABS(((1+$A90)/(1+'Table G'!$B$18))-1)&lt;0.000000001,10,(1-((1+$A90)/(1+'Table G'!$B$18))^10)/(1-((1+$A90)/(1+'Table G'!$B$18))))+('Table G'!$B$14+'Table G'!$B$15)*(1+$A90)^(10-1)*(1+'Table G'!$B$27)/(('Table G'!$B$18-'Table G'!$B$27)*(1+'Table G'!$B$18)^10),"")</f>
        <v>65745.95165862469</v>
      </c>
    </row>
    <row r="91" spans="1:7" x14ac:dyDescent="0.2">
      <c r="A91" s="8">
        <f>-0.1+87*$B$2</f>
        <v>-1.2999999999999998E-2</v>
      </c>
      <c r="B91" s="17">
        <f>IFERROR(('Table G'!$B$14+'Table G'!$B$15)/(1+'Table G'!$B$18)*IF(ABS(((1+$A91)/(1+'Table G'!$B$18))-1)&lt;0.000000001,5,(1-((1+$A91)/(1+'Table G'!$B$18))^5)/(1-((1+$A91)/(1+'Table G'!$B$18))))+('Table G'!$B$14+'Table G'!$B$15)*(1+$A91)^(5-1)*(1+'Table G'!$B$25)/(('Table G'!$B$18-'Table G'!$B$25)*(1+'Table G'!$B$18)^5),"")</f>
        <v>65708.780086071958</v>
      </c>
      <c r="C91" s="17">
        <f>IFERROR(('Table G'!$B$14+'Table G'!$B$15)/(1+'Table G'!$B$18)*IF(ABS(((1+$A91)/(1+'Table G'!$B$18))-1)&lt;0.000000001,10,(1-((1+$A91)/(1+'Table G'!$B$18))^10)/(1-((1+$A91)/(1+'Table G'!$B$18))))+('Table G'!$B$14+'Table G'!$B$15)*(1+$A91)^(10-1)*(1+'Table G'!$B$25)/(('Table G'!$B$18-'Table G'!$B$25)*(1+'Table G'!$B$18)^10),"")</f>
        <v>60649.031524790145</v>
      </c>
      <c r="D91" s="17">
        <f>IFERROR(('Table G'!$B$14+'Table G'!$B$15)/(1+'Table G'!$B$18)*IF(ABS(((1+$A91)/(1+'Table G'!$B$18))-1)&lt;0.000000001,5,(1-((1+$A91)/(1+'Table G'!$B$18))^5)/(1-((1+$A91)/(1+'Table G'!$B$18))))+('Table G'!$B$14+'Table G'!$B$15)*(1+$A91)^(5-1)*(1+'Table G'!$B$26)/(('Table G'!$B$18-'Table G'!$B$26)*(1+'Table G'!$B$18)^5),"")</f>
        <v>69710.871595651974</v>
      </c>
      <c r="E91" s="17">
        <f>IFERROR(('Table G'!$B$14+'Table G'!$B$15)/(1+'Table G'!$B$18)*IF(ABS(((1+$A91)/(1+'Table G'!$B$18))-1)&lt;0.000000001,10,(1-((1+$A91)/(1+'Table G'!$B$18))^10)/(1-((1+$A91)/(1+'Table G'!$B$18))))+('Table G'!$B$14+'Table G'!$B$15)*(1+$A91)^(10-1)*(1+'Table G'!$B$26)/(('Table G'!$B$18-'Table G'!$B$26)*(1+'Table G'!$B$18)^10),"")</f>
        <v>63195.043454660605</v>
      </c>
      <c r="F91" s="17">
        <f>IFERROR(('Table G'!$B$14+'Table G'!$B$15)/(1+'Table G'!$B$18)*IF(ABS(((1+$A91)/(1+'Table G'!$B$18))-1)&lt;0.000000001,5,(1-((1+$A91)/(1+'Table G'!$B$18))^5)/(1-((1+$A91)/(1+'Table G'!$B$18))))+('Table G'!$B$14+'Table G'!$B$15)*(1+$A91)^(5-1)*(1+'Table G'!$B$27)/(('Table G'!$B$18-'Table G'!$B$27)*(1+'Table G'!$B$18)^5),"")</f>
        <v>74409.651303806095</v>
      </c>
      <c r="G91" s="17">
        <f>IFERROR(('Table G'!$B$14+'Table G'!$B$15)/(1+'Table G'!$B$18)*IF(ABS(((1+$A91)/(1+'Table G'!$B$18))-1)&lt;0.000000001,10,(1-((1+$A91)/(1+'Table G'!$B$18))^10)/(1-((1+$A91)/(1+'Table G'!$B$18))))+('Table G'!$B$14+'Table G'!$B$15)*(1+$A91)^(10-1)*(1+'Table G'!$B$27)/(('Table G'!$B$18-'Table G'!$B$27)*(1+'Table G'!$B$18)^10),"")</f>
        <v>66184.267755043722</v>
      </c>
    </row>
    <row r="92" spans="1:7" x14ac:dyDescent="0.2">
      <c r="A92" s="8">
        <f>-0.1+88*$B$2</f>
        <v>-1.2000000000000011E-2</v>
      </c>
      <c r="B92" s="17">
        <f>IFERROR(('Table G'!$B$14+'Table G'!$B$15)/(1+'Table G'!$B$18)*IF(ABS(((1+$A92)/(1+'Table G'!$B$18))-1)&lt;0.000000001,5,(1-((1+$A92)/(1+'Table G'!$B$18))^5)/(1-((1+$A92)/(1+'Table G'!$B$18))))+('Table G'!$B$14+'Table G'!$B$15)*(1+$A92)^(5-1)*(1+'Table G'!$B$25)/(('Table G'!$B$18-'Table G'!$B$25)*(1+'Table G'!$B$18)^5),"")</f>
        <v>65933.766444648267</v>
      </c>
      <c r="C92" s="17">
        <f>IFERROR(('Table G'!$B$14+'Table G'!$B$15)/(1+'Table G'!$B$18)*IF(ABS(((1+$A92)/(1+'Table G'!$B$18))-1)&lt;0.000000001,10,(1-((1+$A92)/(1+'Table G'!$B$18))^10)/(1-((1+$A92)/(1+'Table G'!$B$18))))+('Table G'!$B$14+'Table G'!$B$15)*(1+$A92)^(10-1)*(1+'Table G'!$B$25)/(('Table G'!$B$18-'Table G'!$B$25)*(1+'Table G'!$B$18)^10),"")</f>
        <v>61039.861789252223</v>
      </c>
      <c r="D92" s="17">
        <f>IFERROR(('Table G'!$B$14+'Table G'!$B$15)/(1+'Table G'!$B$18)*IF(ABS(((1+$A92)/(1+'Table G'!$B$18))-1)&lt;0.000000001,5,(1-((1+$A92)/(1+'Table G'!$B$18))^5)/(1-((1+$A92)/(1+'Table G'!$B$18))))+('Table G'!$B$14+'Table G'!$B$15)*(1+$A92)^(5-1)*(1+'Table G'!$B$26)/(('Table G'!$B$18-'Table G'!$B$26)*(1+'Table G'!$B$18)^5),"")</f>
        <v>69952.101835990296</v>
      </c>
      <c r="E92" s="17">
        <f>IFERROR(('Table G'!$B$14+'Table G'!$B$15)/(1+'Table G'!$B$18)*IF(ABS(((1+$A92)/(1+'Table G'!$B$18))-1)&lt;0.000000001,10,(1-((1+$A92)/(1+'Table G'!$B$18))^10)/(1-((1+$A92)/(1+'Table G'!$B$18))))+('Table G'!$B$14+'Table G'!$B$15)*(1+$A92)^(10-1)*(1+'Table G'!$B$26)/(('Table G'!$B$18-'Table G'!$B$26)*(1+'Table G'!$B$18)^10),"")</f>
        <v>63609.183942927804</v>
      </c>
      <c r="F92" s="17">
        <f>IFERROR(('Table G'!$B$14+'Table G'!$B$15)/(1+'Table G'!$B$18)*IF(ABS(((1+$A92)/(1+'Table G'!$B$18))-1)&lt;0.000000001,5,(1-((1+$A92)/(1+'Table G'!$B$18))^5)/(1-((1+$A92)/(1+'Table G'!$B$18))))+('Table G'!$B$14+'Table G'!$B$15)*(1+$A92)^(5-1)*(1+'Table G'!$B$27)/(('Table G'!$B$18-'Table G'!$B$27)*(1+'Table G'!$B$18)^5),"")</f>
        <v>74669.953177519666</v>
      </c>
      <c r="G92" s="17">
        <f>IFERROR(('Table G'!$B$14+'Table G'!$B$15)/(1+'Table G'!$B$18)*IF(ABS(((1+$A92)/(1+'Table G'!$B$18))-1)&lt;0.000000001,10,(1-((1+$A92)/(1+'Table G'!$B$18))^10)/(1-((1+$A92)/(1+'Table G'!$B$18))))+('Table G'!$B$14+'Table G'!$B$15)*(1+$A92)^(10-1)*(1+'Table G'!$B$27)/(('Table G'!$B$18-'Table G'!$B$27)*(1+'Table G'!$B$18)^10),"")</f>
        <v>66625.776334806564</v>
      </c>
    </row>
    <row r="93" spans="1:7" x14ac:dyDescent="0.2">
      <c r="A93" s="8">
        <f>-0.1+89*$B$2</f>
        <v>-1.100000000000001E-2</v>
      </c>
      <c r="B93" s="17">
        <f>IFERROR(('Table G'!$B$14+'Table G'!$B$15)/(1+'Table G'!$B$18)*IF(ABS(((1+$A93)/(1+'Table G'!$B$18))-1)&lt;0.000000001,5,(1-((1+$A93)/(1+'Table G'!$B$18))^5)/(1-((1+$A93)/(1+'Table G'!$B$18))))+('Table G'!$B$14+'Table G'!$B$15)*(1+$A93)^(5-1)*(1+'Table G'!$B$25)/(('Table G'!$B$18-'Table G'!$B$25)*(1+'Table G'!$B$18)^5),"")</f>
        <v>66159.398468897183</v>
      </c>
      <c r="C93" s="17">
        <f>IFERROR(('Table G'!$B$14+'Table G'!$B$15)/(1+'Table G'!$B$18)*IF(ABS(((1+$A93)/(1+'Table G'!$B$18))-1)&lt;0.000000001,10,(1-((1+$A93)/(1+'Table G'!$B$18))^10)/(1-((1+$A93)/(1+'Table G'!$B$18))))+('Table G'!$B$14+'Table G'!$B$15)*(1+$A93)^(10-1)*(1+'Table G'!$B$25)/(('Table G'!$B$18-'Table G'!$B$25)*(1+'Table G'!$B$18)^10),"")</f>
        <v>61433.494033481875</v>
      </c>
      <c r="D93" s="17">
        <f>IFERROR(('Table G'!$B$14+'Table G'!$B$15)/(1+'Table G'!$B$18)*IF(ABS(((1+$A93)/(1+'Table G'!$B$18))-1)&lt;0.000000001,5,(1-((1+$A93)/(1+'Table G'!$B$18))^5)/(1-((1+$A93)/(1+'Table G'!$B$18))))+('Table G'!$B$14+'Table G'!$B$15)*(1+$A93)^(5-1)*(1+'Table G'!$B$26)/(('Table G'!$B$18-'Table G'!$B$26)*(1+'Table G'!$B$18)^5),"")</f>
        <v>70194.027140484337</v>
      </c>
      <c r="E93" s="17">
        <f>IFERROR(('Table G'!$B$14+'Table G'!$B$15)/(1+'Table G'!$B$18)*IF(ABS(((1+$A93)/(1+'Table G'!$B$18))-1)&lt;0.000000001,10,(1-((1+$A93)/(1+'Table G'!$B$18))^10)/(1-((1+$A93)/(1+'Table G'!$B$18))))+('Table G'!$B$14+'Table G'!$B$15)*(1+$A93)^(10-1)*(1+'Table G'!$B$26)/(('Table G'!$B$18-'Table G'!$B$26)*(1+'Table G'!$B$18)^10),"")</f>
        <v>64026.315923840157</v>
      </c>
      <c r="F93" s="17">
        <f>IFERROR(('Table G'!$B$14+'Table G'!$B$15)/(1+'Table G'!$B$18)*IF(ABS(((1+$A93)/(1+'Table G'!$B$18))-1)&lt;0.000000001,5,(1-((1+$A93)/(1+'Table G'!$B$18))^5)/(1-((1+$A93)/(1+'Table G'!$B$18))))+('Table G'!$B$14+'Table G'!$B$15)*(1+$A93)^(5-1)*(1+'Table G'!$B$27)/(('Table G'!$B$18-'Table G'!$B$27)*(1+'Table G'!$B$18)^5),"")</f>
        <v>74931.008113210773</v>
      </c>
      <c r="G93" s="17">
        <f>IFERROR(('Table G'!$B$14+'Table G'!$B$15)/(1+'Table G'!$B$18)*IF(ABS(((1+$A93)/(1+'Table G'!$B$18))-1)&lt;0.000000001,10,(1-((1+$A93)/(1+'Table G'!$B$18))^10)/(1-((1+$A93)/(1+'Table G'!$B$18))))+('Table G'!$B$14+'Table G'!$B$15)*(1+$A93)^(10-1)*(1+'Table G'!$B$27)/(('Table G'!$B$18-'Table G'!$B$27)*(1+'Table G'!$B$18)^10),"")</f>
        <v>67070.498910688388</v>
      </c>
    </row>
    <row r="94" spans="1:7" x14ac:dyDescent="0.2">
      <c r="A94" s="8">
        <f>-0.1+90*$B$2</f>
        <v>-1.0000000000000009E-2</v>
      </c>
      <c r="B94" s="17">
        <f>IFERROR(('Table G'!$B$14+'Table G'!$B$15)/(1+'Table G'!$B$18)*IF(ABS(((1+$A94)/(1+'Table G'!$B$18))-1)&lt;0.000000001,5,(1-((1+$A94)/(1+'Table G'!$B$18))^5)/(1-((1+$A94)/(1+'Table G'!$B$18))))+('Table G'!$B$14+'Table G'!$B$15)*(1+$A94)^(5-1)*(1+'Table G'!$B$25)/(('Table G'!$B$18-'Table G'!$B$25)*(1+'Table G'!$B$18)^5),"")</f>
        <v>66385.677429615214</v>
      </c>
      <c r="C94" s="17">
        <f>IFERROR(('Table G'!$B$14+'Table G'!$B$15)/(1+'Table G'!$B$18)*IF(ABS(((1+$A94)/(1+'Table G'!$B$18))-1)&lt;0.000000001,10,(1-((1+$A94)/(1+'Table G'!$B$18))^10)/(1-((1+$A94)/(1+'Table G'!$B$18))))+('Table G'!$B$14+'Table G'!$B$15)*(1+$A94)^(10-1)*(1+'Table G'!$B$25)/(('Table G'!$B$18-'Table G'!$B$25)*(1+'Table G'!$B$18)^10),"")</f>
        <v>61829.94696920026</v>
      </c>
      <c r="D94" s="17">
        <f>IFERROR(('Table G'!$B$14+'Table G'!$B$15)/(1+'Table G'!$B$18)*IF(ABS(((1+$A94)/(1+'Table G'!$B$18))-1)&lt;0.000000001,5,(1-((1+$A94)/(1+'Table G'!$B$18))^5)/(1-((1+$A94)/(1+'Table G'!$B$18))))+('Table G'!$B$14+'Table G'!$B$15)*(1+$A94)^(5-1)*(1+'Table G'!$B$26)/(('Table G'!$B$18-'Table G'!$B$26)*(1+'Table G'!$B$18)^5),"")</f>
        <v>70436.64887997818</v>
      </c>
      <c r="E94" s="17">
        <f>IFERROR(('Table G'!$B$14+'Table G'!$B$15)/(1+'Table G'!$B$18)*IF(ABS(((1+$A94)/(1+'Table G'!$B$18))-1)&lt;0.000000001,10,(1-((1+$A94)/(1+'Table G'!$B$18))^10)/(1-((1+$A94)/(1+'Table G'!$B$18))))+('Table G'!$B$14+'Table G'!$B$15)*(1+$A94)^(10-1)*(1+'Table G'!$B$26)/(('Table G'!$B$18-'Table G'!$B$26)*(1+'Table G'!$B$18)^10),"")</f>
        <v>64446.459455903903</v>
      </c>
      <c r="F94" s="17">
        <f>IFERROR(('Table G'!$B$14+'Table G'!$B$15)/(1+'Table G'!$B$18)*IF(ABS(((1+$A94)/(1+'Table G'!$B$18))-1)&lt;0.000000001,5,(1-((1+$A94)/(1+'Table G'!$B$18))^5)/(1-((1+$A94)/(1+'Table G'!$B$18))))+('Table G'!$B$14+'Table G'!$B$15)*(1+$A94)^(5-1)*(1+'Table G'!$B$27)/(('Table G'!$B$18-'Table G'!$B$27)*(1+'Table G'!$B$18)^5),"")</f>
        <v>75192.817599187358</v>
      </c>
      <c r="G94" s="17">
        <f>IFERROR(('Table G'!$B$14+'Table G'!$B$15)/(1+'Table G'!$B$18)*IF(ABS(((1+$A94)/(1+'Table G'!$B$18))-1)&lt;0.000000001,10,(1-((1+$A94)/(1+'Table G'!$B$18))^10)/(1-((1+$A94)/(1+'Table G'!$B$18))))+('Table G'!$B$14+'Table G'!$B$15)*(1+$A94)^(10-1)*(1+'Table G'!$B$27)/(('Table G'!$B$18-'Table G'!$B$27)*(1+'Table G'!$B$18)^10),"")</f>
        <v>67518.457122430307</v>
      </c>
    </row>
    <row r="95" spans="1:7" x14ac:dyDescent="0.2">
      <c r="A95" s="8">
        <f>-0.1+91*$B$2</f>
        <v>-9.000000000000008E-3</v>
      </c>
      <c r="B95" s="17">
        <f>IFERROR(('Table G'!$B$14+'Table G'!$B$15)/(1+'Table G'!$B$18)*IF(ABS(((1+$A95)/(1+'Table G'!$B$18))-1)&lt;0.000000001,5,(1-((1+$A95)/(1+'Table G'!$B$18))^5)/(1-((1+$A95)/(1+'Table G'!$B$18))))+('Table G'!$B$14+'Table G'!$B$15)*(1+$A95)^(5-1)*(1+'Table G'!$B$25)/(('Table G'!$B$18-'Table G'!$B$25)*(1+'Table G'!$B$18)^5),"")</f>
        <v>66612.604598862963</v>
      </c>
      <c r="C95" s="17">
        <f>IFERROR(('Table G'!$B$14+'Table G'!$B$15)/(1+'Table G'!$B$18)*IF(ABS(((1+$A95)/(1+'Table G'!$B$18))-1)&lt;0.000000001,10,(1-((1+$A95)/(1+'Table G'!$B$18))^10)/(1-((1+$A95)/(1+'Table G'!$B$18))))+('Table G'!$B$14+'Table G'!$B$15)*(1+$A95)^(10-1)*(1+'Table G'!$B$25)/(('Table G'!$B$18-'Table G'!$B$25)*(1+'Table G'!$B$18)^10),"")</f>
        <v>62229.239417907855</v>
      </c>
      <c r="D95" s="17">
        <f>IFERROR(('Table G'!$B$14+'Table G'!$B$15)/(1+'Table G'!$B$18)*IF(ABS(((1+$A95)/(1+'Table G'!$B$18))-1)&lt;0.000000001,5,(1-((1+$A95)/(1+'Table G'!$B$18))^5)/(1-((1+$A95)/(1+'Table G'!$B$18))))+('Table G'!$B$14+'Table G'!$B$15)*(1+$A95)^(5-1)*(1+'Table G'!$B$26)/(('Table G'!$B$18-'Table G'!$B$26)*(1+'Table G'!$B$18)^5),"")</f>
        <v>70679.968426681124</v>
      </c>
      <c r="E95" s="17">
        <f>IFERROR(('Table G'!$B$14+'Table G'!$B$15)/(1+'Table G'!$B$18)*IF(ABS(((1+$A95)/(1+'Table G'!$B$18))-1)&lt;0.000000001,10,(1-((1+$A95)/(1+'Table G'!$B$18))^10)/(1-((1+$A95)/(1+'Table G'!$B$18))))+('Table G'!$B$14+'Table G'!$B$15)*(1+$A95)^(10-1)*(1+'Table G'!$B$26)/(('Table G'!$B$18-'Table G'!$B$26)*(1+'Table G'!$B$18)^10),"")</f>
        <v>64869.634715600056</v>
      </c>
      <c r="F95" s="17">
        <f>IFERROR(('Table G'!$B$14+'Table G'!$B$15)/(1+'Table G'!$B$18)*IF(ABS(((1+$A95)/(1+'Table G'!$B$18))-1)&lt;0.000000001,5,(1-((1+$A95)/(1+'Table G'!$B$18))^5)/(1-((1+$A95)/(1+'Table G'!$B$18))))+('Table G'!$B$14+'Table G'!$B$15)*(1+$A95)^(5-1)*(1+'Table G'!$B$27)/(('Table G'!$B$18-'Table G'!$B$27)*(1+'Table G'!$B$18)^5),"")</f>
        <v>75455.383125241467</v>
      </c>
      <c r="G95" s="17">
        <f>IFERROR(('Table G'!$B$14+'Table G'!$B$15)/(1+'Table G'!$B$18)*IF(ABS(((1+$A95)/(1+'Table G'!$B$18))-1)&lt;0.000000001,10,(1-((1+$A95)/(1+'Table G'!$B$18))^10)/(1-((1+$A95)/(1+'Table G'!$B$18))))+('Table G'!$B$14+'Table G'!$B$15)*(1+$A95)^(10-1)*(1+'Table G'!$B$27)/(('Table G'!$B$18-'Table G'!$B$27)*(1+'Table G'!$B$18)^10),"")</f>
        <v>67969.672737370231</v>
      </c>
    </row>
    <row r="96" spans="1:7" x14ac:dyDescent="0.2">
      <c r="A96" s="8">
        <f>-0.1+92*$B$2</f>
        <v>-8.0000000000000071E-3</v>
      </c>
      <c r="B96" s="17">
        <f>IFERROR(('Table G'!$B$14+'Table G'!$B$15)/(1+'Table G'!$B$18)*IF(ABS(((1+$A96)/(1+'Table G'!$B$18))-1)&lt;0.000000001,5,(1-((1+$A96)/(1+'Table G'!$B$18))^5)/(1-((1+$A96)/(1+'Table G'!$B$18))))+('Table G'!$B$14+'Table G'!$B$15)*(1+$A96)^(5-1)*(1+'Table G'!$B$25)/(('Table G'!$B$18-'Table G'!$B$25)*(1+'Table G'!$B$18)^5),"")</f>
        <v>66840.181249964953</v>
      </c>
      <c r="C96" s="17">
        <f>IFERROR(('Table G'!$B$14+'Table G'!$B$15)/(1+'Table G'!$B$18)*IF(ABS(((1+$A96)/(1+'Table G'!$B$18))-1)&lt;0.000000001,10,(1-((1+$A96)/(1+'Table G'!$B$18))^10)/(1-((1+$A96)/(1+'Table G'!$B$18))))+('Table G'!$B$14+'Table G'!$B$15)*(1+$A96)^(10-1)*(1+'Table G'!$B$25)/(('Table G'!$B$18-'Table G'!$B$25)*(1+'Table G'!$B$18)^10),"")</f>
        <v>62631.390311427276</v>
      </c>
      <c r="D96" s="17">
        <f>IFERROR(('Table G'!$B$14+'Table G'!$B$15)/(1+'Table G'!$B$18)*IF(ABS(((1+$A96)/(1+'Table G'!$B$18))-1)&lt;0.000000001,5,(1-((1+$A96)/(1+'Table G'!$B$18))^5)/(1-((1+$A96)/(1+'Table G'!$B$18))))+('Table G'!$B$14+'Table G'!$B$15)*(1+$A96)^(5-1)*(1+'Table G'!$B$26)/(('Table G'!$B$18-'Table G'!$B$26)*(1+'Table G'!$B$18)^5),"")</f>
        <v>70923.98715416764</v>
      </c>
      <c r="E96" s="17">
        <f>IFERROR(('Table G'!$B$14+'Table G'!$B$15)/(1+'Table G'!$B$18)*IF(ABS(((1+$A96)/(1+'Table G'!$B$18))-1)&lt;0.000000001,10,(1-((1+$A96)/(1+'Table G'!$B$18))^10)/(1-((1+$A96)/(1+'Table G'!$B$18))))+('Table G'!$B$14+'Table G'!$B$15)*(1+$A96)^(10-1)*(1+'Table G'!$B$26)/(('Table G'!$B$18-'Table G'!$B$26)*(1+'Table G'!$B$18)^10),"")</f>
        <v>65295.861997968663</v>
      </c>
      <c r="F96" s="17">
        <f>IFERROR(('Table G'!$B$14+'Table G'!$B$15)/(1+'Table G'!$B$18)*IF(ABS(((1+$A96)/(1+'Table G'!$B$18))-1)&lt;0.000000001,5,(1-((1+$A96)/(1+'Table G'!$B$18))^5)/(1-((1+$A96)/(1+'Table G'!$B$18))))+('Table G'!$B$14+'Table G'!$B$15)*(1+$A96)^(5-1)*(1+'Table G'!$B$27)/(('Table G'!$B$18-'Table G'!$B$27)*(1+'Table G'!$B$18)^5),"")</f>
        <v>75718.706182649112</v>
      </c>
      <c r="G96" s="17">
        <f>IFERROR(('Table G'!$B$14+'Table G'!$B$15)/(1+'Table G'!$B$18)*IF(ABS(((1+$A96)/(1+'Table G'!$B$18))-1)&lt;0.000000001,10,(1-((1+$A96)/(1+'Table G'!$B$18))^10)/(1-((1+$A96)/(1+'Table G'!$B$18))))+('Table G'!$B$14+'Table G'!$B$15)*(1+$A96)^(10-1)*(1+'Table G'!$B$27)/(('Table G'!$B$18-'Table G'!$B$27)*(1+'Table G'!$B$18)^10),"")</f>
        <v>68424.167651075972</v>
      </c>
    </row>
    <row r="97" spans="1:7" x14ac:dyDescent="0.2">
      <c r="A97" s="8">
        <f>-0.1+93*$B$2</f>
        <v>-7.0000000000000062E-3</v>
      </c>
      <c r="B97" s="17">
        <f>IFERROR(('Table G'!$B$14+'Table G'!$B$15)/(1+'Table G'!$B$18)*IF(ABS(((1+$A97)/(1+'Table G'!$B$18))-1)&lt;0.000000001,5,(1-((1+$A97)/(1+'Table G'!$B$18))^5)/(1-((1+$A97)/(1+'Table G'!$B$18))))+('Table G'!$B$14+'Table G'!$B$15)*(1+$A97)^(5-1)*(1+'Table G'!$B$25)/(('Table G'!$B$18-'Table G'!$B$25)*(1+'Table G'!$B$18)^5),"")</f>
        <v>67068.408657509804</v>
      </c>
      <c r="C97" s="17">
        <f>IFERROR(('Table G'!$B$14+'Table G'!$B$15)/(1+'Table G'!$B$18)*IF(ABS(((1+$A97)/(1+'Table G'!$B$18))-1)&lt;0.000000001,10,(1-((1+$A97)/(1+'Table G'!$B$18))^10)/(1-((1+$A97)/(1+'Table G'!$B$18))))+('Table G'!$B$14+'Table G'!$B$15)*(1+$A97)^(10-1)*(1+'Table G'!$B$25)/(('Table G'!$B$18-'Table G'!$B$25)*(1+'Table G'!$B$18)^10),"")</f>
        <v>63036.418692448555</v>
      </c>
      <c r="D97" s="17">
        <f>IFERROR(('Table G'!$B$14+'Table G'!$B$15)/(1+'Table G'!$B$18)*IF(ABS(((1+$A97)/(1+'Table G'!$B$18))-1)&lt;0.000000001,5,(1-((1+$A97)/(1+'Table G'!$B$18))^5)/(1-((1+$A97)/(1+'Table G'!$B$18))))+('Table G'!$B$14+'Table G'!$B$15)*(1+$A97)^(5-1)*(1+'Table G'!$B$26)/(('Table G'!$B$18-'Table G'!$B$26)*(1+'Table G'!$B$18)^5),"")</f>
        <v>71168.706437377492</v>
      </c>
      <c r="E97" s="17">
        <f>IFERROR(('Table G'!$B$14+'Table G'!$B$15)/(1+'Table G'!$B$18)*IF(ABS(((1+$A97)/(1+'Table G'!$B$18))-1)&lt;0.000000001,10,(1-((1+$A97)/(1+'Table G'!$B$18))^10)/(1-((1+$A97)/(1+'Table G'!$B$18))))+('Table G'!$B$14+'Table G'!$B$15)*(1+$A97)^(10-1)*(1+'Table G'!$B$26)/(('Table G'!$B$18-'Table G'!$B$26)*(1+'Table G'!$B$18)^10),"")</f>
        <v>65725.16171719585</v>
      </c>
      <c r="F97" s="17">
        <f>IFERROR(('Table G'!$B$14+'Table G'!$B$15)/(1+'Table G'!$B$18)*IF(ABS(((1+$A97)/(1+'Table G'!$B$18))-1)&lt;0.000000001,5,(1-((1+$A97)/(1+'Table G'!$B$18))^5)/(1-((1+$A97)/(1+'Table G'!$B$18))))+('Table G'!$B$14+'Table G'!$B$15)*(1+$A97)^(5-1)*(1+'Table G'!$B$27)/(('Table G'!$B$18-'Table G'!$B$27)*(1+'Table G'!$B$18)^5),"")</f>
        <v>75982.788264170464</v>
      </c>
      <c r="G97" s="17">
        <f>IFERROR(('Table G'!$B$14+'Table G'!$B$15)/(1+'Table G'!$B$18)*IF(ABS(((1+$A97)/(1+'Table G'!$B$18))-1)&lt;0.000000001,10,(1-((1+$A97)/(1+'Table G'!$B$18))^10)/(1-((1+$A97)/(1+'Table G'!$B$18))))+('Table G'!$B$14+'Table G'!$B$15)*(1+$A97)^(10-1)*(1+'Table G'!$B$27)/(('Table G'!$B$18-'Table G'!$B$27)*(1+'Table G'!$B$18)^10),"")</f>
        <v>68881.963887981125</v>
      </c>
    </row>
    <row r="98" spans="1:7" x14ac:dyDescent="0.2">
      <c r="A98" s="8">
        <f>-0.1+94*$B$2</f>
        <v>-6.0000000000000053E-3</v>
      </c>
      <c r="B98" s="17">
        <f>IFERROR(('Table G'!$B$14+'Table G'!$B$15)/(1+'Table G'!$B$18)*IF(ABS(((1+$A98)/(1+'Table G'!$B$18))-1)&lt;0.000000001,5,(1-((1+$A98)/(1+'Table G'!$B$18))^5)/(1-((1+$A98)/(1+'Table G'!$B$18))))+('Table G'!$B$14+'Table G'!$B$15)*(1+$A98)^(5-1)*(1+'Table G'!$B$25)/(('Table G'!$B$18-'Table G'!$B$25)*(1+'Table G'!$B$18)^5),"")</f>
        <v>67297.288097350145</v>
      </c>
      <c r="C98" s="17">
        <f>IFERROR(('Table G'!$B$14+'Table G'!$B$15)/(1+'Table G'!$B$18)*IF(ABS(((1+$A98)/(1+'Table G'!$B$18))-1)&lt;0.000000001,10,(1-((1+$A98)/(1+'Table G'!$B$18))^10)/(1-((1+$A98)/(1+'Table G'!$B$18))))+('Table G'!$B$14+'Table G'!$B$15)*(1+$A98)^(10-1)*(1+'Table G'!$B$25)/(('Table G'!$B$18-'Table G'!$B$25)*(1+'Table G'!$B$18)^10),"")</f>
        <v>63444.343715076517</v>
      </c>
      <c r="D98" s="17">
        <f>IFERROR(('Table G'!$B$14+'Table G'!$B$15)/(1+'Table G'!$B$18)*IF(ABS(((1+$A98)/(1+'Table G'!$B$18))-1)&lt;0.000000001,5,(1-((1+$A98)/(1+'Table G'!$B$18))^5)/(1-((1+$A98)/(1+'Table G'!$B$18))))+('Table G'!$B$14+'Table G'!$B$15)*(1+$A98)^(5-1)*(1+'Table G'!$B$26)/(('Table G'!$B$18-'Table G'!$B$26)*(1+'Table G'!$B$18)^5),"")</f>
        <v>71414.127652615687</v>
      </c>
      <c r="E98" s="17">
        <f>IFERROR(('Table G'!$B$14+'Table G'!$B$15)/(1+'Table G'!$B$18)*IF(ABS(((1+$A98)/(1+'Table G'!$B$18))-1)&lt;0.000000001,10,(1-((1+$A98)/(1+'Table G'!$B$18))^10)/(1-((1+$A98)/(1+'Table G'!$B$18))))+('Table G'!$B$14+'Table G'!$B$15)*(1+$A98)^(10-1)*(1+'Table G'!$B$26)/(('Table G'!$B$18-'Table G'!$B$26)*(1+'Table G'!$B$18)^10),"")</f>
        <v>66157.554407202944</v>
      </c>
      <c r="F98" s="17">
        <f>IFERROR(('Table G'!$B$14+'Table G'!$B$15)/(1+'Table G'!$B$18)*IF(ABS(((1+$A98)/(1+'Table G'!$B$18))-1)&lt;0.000000001,5,(1-((1+$A98)/(1+'Table G'!$B$18))^5)/(1-((1+$A98)/(1+'Table G'!$B$18))))+('Table G'!$B$14+'Table G'!$B$15)*(1+$A98)^(5-1)*(1+'Table G'!$B$27)/(('Table G'!$B$18-'Table G'!$B$27)*(1+'Table G'!$B$18)^5),"")</f>
        <v>76247.63086404973</v>
      </c>
      <c r="G98" s="17">
        <f>IFERROR(('Table G'!$B$14+'Table G'!$B$15)/(1+'Table G'!$B$18)*IF(ABS(((1+$A98)/(1+'Table G'!$B$18))-1)&lt;0.000000001,10,(1-((1+$A98)/(1+'Table G'!$B$18))^10)/(1-((1+$A98)/(1+'Table G'!$B$18))))+('Table G'!$B$14+'Table G'!$B$15)*(1+$A98)^(10-1)*(1+'Table G'!$B$27)/(('Table G'!$B$18-'Table G'!$B$27)*(1+'Table G'!$B$18)^10),"")</f>
        <v>69343.083602023442</v>
      </c>
    </row>
    <row r="99" spans="1:7" x14ac:dyDescent="0.2">
      <c r="A99" s="8">
        <f>-0.1+95*$B$2</f>
        <v>-5.0000000000000044E-3</v>
      </c>
      <c r="B99" s="17">
        <f>IFERROR(('Table G'!$B$14+'Table G'!$B$15)/(1+'Table G'!$B$18)*IF(ABS(((1+$A99)/(1+'Table G'!$B$18))-1)&lt;0.000000001,5,(1-((1+$A99)/(1+'Table G'!$B$18))^5)/(1-((1+$A99)/(1+'Table G'!$B$18))))+('Table G'!$B$14+'Table G'!$B$15)*(1+$A99)^(5-1)*(1+'Table G'!$B$25)/(('Table G'!$B$18-'Table G'!$B$25)*(1+'Table G'!$B$18)^5),"")</f>
        <v>67526.820846602583</v>
      </c>
      <c r="C99" s="17">
        <f>IFERROR(('Table G'!$B$14+'Table G'!$B$15)/(1+'Table G'!$B$18)*IF(ABS(((1+$A99)/(1+'Table G'!$B$18))-1)&lt;0.000000001,10,(1-((1+$A99)/(1+'Table G'!$B$18))^10)/(1-((1+$A99)/(1+'Table G'!$B$18))))+('Table G'!$B$14+'Table G'!$B$15)*(1+$A99)^(10-1)*(1+'Table G'!$B$25)/(('Table G'!$B$18-'Table G'!$B$25)*(1+'Table G'!$B$18)^10),"")</f>
        <v>63855.184645380126</v>
      </c>
      <c r="D99" s="17">
        <f>IFERROR(('Table G'!$B$14+'Table G'!$B$15)/(1+'Table G'!$B$18)*IF(ABS(((1+$A99)/(1+'Table G'!$B$18))-1)&lt;0.000000001,5,(1-((1+$A99)/(1+'Table G'!$B$18))^5)/(1-((1+$A99)/(1+'Table G'!$B$18))))+('Table G'!$B$14+'Table G'!$B$15)*(1+$A99)^(5-1)*(1+'Table G'!$B$26)/(('Table G'!$B$18-'Table G'!$B$26)*(1+'Table G'!$B$18)^5),"")</f>
        <v>71660.252177552407</v>
      </c>
      <c r="E99" s="17">
        <f>IFERROR(('Table G'!$B$14+'Table G'!$B$15)/(1+'Table G'!$B$18)*IF(ABS(((1+$A99)/(1+'Table G'!$B$18))-1)&lt;0.000000001,10,(1-((1+$A99)/(1+'Table G'!$B$18))^10)/(1-((1+$A99)/(1+'Table G'!$B$18))))+('Table G'!$B$14+'Table G'!$B$15)*(1+$A99)^(10-1)*(1+'Table G'!$B$26)/(('Table G'!$B$18-'Table G'!$B$26)*(1+'Table G'!$B$18)^10),"")</f>
        <v>66593.060722237904</v>
      </c>
      <c r="F99" s="17">
        <f>IFERROR(('Table G'!$B$14+'Table G'!$B$15)/(1+'Table G'!$B$18)*IF(ABS(((1+$A99)/(1+'Table G'!$B$18))-1)&lt;0.000000001,5,(1-((1+$A99)/(1+'Table G'!$B$18))^5)/(1-((1+$A99)/(1+'Table G'!$B$18))))+('Table G'!$B$14+'Table G'!$B$15)*(1+$A99)^(5-1)*(1+'Table G'!$B$27)/(('Table G'!$B$18-'Table G'!$B$27)*(1+'Table G'!$B$18)^5),"")</f>
        <v>76513.235478015122</v>
      </c>
      <c r="G99" s="17">
        <f>IFERROR(('Table G'!$B$14+'Table G'!$B$15)/(1+'Table G'!$B$18)*IF(ABS(((1+$A99)/(1+'Table G'!$B$18))-1)&lt;0.000000001,10,(1-((1+$A99)/(1+'Table G'!$B$18))^10)/(1-((1+$A99)/(1+'Table G'!$B$18))))+('Table G'!$B$14+'Table G'!$B$15)*(1+$A99)^(10-1)*(1+'Table G'!$B$27)/(('Table G'!$B$18-'Table G'!$B$27)*(1+'Table G'!$B$18)^10),"")</f>
        <v>69807.549077285541</v>
      </c>
    </row>
    <row r="100" spans="1:7" x14ac:dyDescent="0.2">
      <c r="A100" s="8">
        <f>-0.1+96*$B$2</f>
        <v>-4.0000000000000036E-3</v>
      </c>
      <c r="B100" s="17">
        <f>IFERROR(('Table G'!$B$14+'Table G'!$B$15)/(1+'Table G'!$B$18)*IF(ABS(((1+$A100)/(1+'Table G'!$B$18))-1)&lt;0.000000001,5,(1-((1+$A100)/(1+'Table G'!$B$18))^5)/(1-((1+$A100)/(1+'Table G'!$B$18))))+('Table G'!$B$14+'Table G'!$B$15)*(1+$A100)^(5-1)*(1+'Table G'!$B$25)/(('Table G'!$B$18-'Table G'!$B$25)*(1+'Table G'!$B$18)^5),"")</f>
        <v>67757.008183647791</v>
      </c>
      <c r="C100" s="17">
        <f>IFERROR(('Table G'!$B$14+'Table G'!$B$15)/(1+'Table G'!$B$18)*IF(ABS(((1+$A100)/(1+'Table G'!$B$18))-1)&lt;0.000000001,10,(1-((1+$A100)/(1+'Table G'!$B$18))^10)/(1-((1+$A100)/(1+'Table G'!$B$18))))+('Table G'!$B$14+'Table G'!$B$15)*(1+$A100)^(10-1)*(1+'Table G'!$B$25)/(('Table G'!$B$18-'Table G'!$B$25)*(1+'Table G'!$B$18)^10),"")</f>
        <v>64268.960861944332</v>
      </c>
      <c r="D100" s="17">
        <f>IFERROR(('Table G'!$B$14+'Table G'!$B$15)/(1+'Table G'!$B$18)*IF(ABS(((1+$A100)/(1+'Table G'!$B$18))-1)&lt;0.000000001,5,(1-((1+$A100)/(1+'Table G'!$B$18))^5)/(1-((1+$A100)/(1+'Table G'!$B$18))))+('Table G'!$B$14+'Table G'!$B$15)*(1+$A100)^(5-1)*(1+'Table G'!$B$26)/(('Table G'!$B$18-'Table G'!$B$26)*(1+'Table G'!$B$18)^5),"")</f>
        <v>71907.081391223095</v>
      </c>
      <c r="E100" s="17">
        <f>IFERROR(('Table G'!$B$14+'Table G'!$B$15)/(1+'Table G'!$B$18)*IF(ABS(((1+$A100)/(1+'Table G'!$B$18))-1)&lt;0.000000001,10,(1-((1+$A100)/(1+'Table G'!$B$18))^10)/(1-((1+$A100)/(1+'Table G'!$B$18))))+('Table G'!$B$14+'Table G'!$B$15)*(1+$A100)^(10-1)*(1+'Table G'!$B$26)/(('Table G'!$B$18-'Table G'!$B$26)*(1+'Table G'!$B$18)^10),"")</f>
        <v>67031.701437469426</v>
      </c>
      <c r="F100" s="17">
        <f>IFERROR(('Table G'!$B$14+'Table G'!$B$15)/(1+'Table G'!$B$18)*IF(ABS(((1+$A100)/(1+'Table G'!$B$18))-1)&lt;0.000000001,5,(1-((1+$A100)/(1+'Table G'!$B$18))^5)/(1-((1+$A100)/(1+'Table G'!$B$18))))+('Table G'!$B$14+'Table G'!$B$15)*(1+$A100)^(5-1)*(1+'Table G'!$B$27)/(('Table G'!$B$18-'Table G'!$B$27)*(1+'Table G'!$B$18)^5),"")</f>
        <v>76779.603603278985</v>
      </c>
      <c r="G100" s="17">
        <f>IFERROR(('Table G'!$B$14+'Table G'!$B$15)/(1+'Table G'!$B$18)*IF(ABS(((1+$A100)/(1+'Table G'!$B$18))-1)&lt;0.000000001,10,(1-((1+$A100)/(1+'Table G'!$B$18))^10)/(1-((1+$A100)/(1+'Table G'!$B$18))))+('Table G'!$B$14+'Table G'!$B$15)*(1+$A100)^(10-1)*(1+'Table G'!$B$27)/(('Table G'!$B$18-'Table G'!$B$27)*(1+'Table G'!$B$18)^10),"")</f>
        <v>70275.38272863852</v>
      </c>
    </row>
    <row r="101" spans="1:7" x14ac:dyDescent="0.2">
      <c r="A101" s="8">
        <f>-0.1+97*$B$2</f>
        <v>-3.0000000000000027E-3</v>
      </c>
      <c r="B101" s="17">
        <f>IFERROR(('Table G'!$B$14+'Table G'!$B$15)/(1+'Table G'!$B$18)*IF(ABS(((1+$A101)/(1+'Table G'!$B$18))-1)&lt;0.000000001,5,(1-((1+$A101)/(1+'Table G'!$B$18))^5)/(1-((1+$A101)/(1+'Table G'!$B$18))))+('Table G'!$B$14+'Table G'!$B$15)*(1+$A101)^(5-1)*(1+'Table G'!$B$25)/(('Table G'!$B$18-'Table G'!$B$25)*(1+'Table G'!$B$18)^5),"")</f>
        <v>67987.851388130424</v>
      </c>
      <c r="C101" s="17">
        <f>IFERROR(('Table G'!$B$14+'Table G'!$B$15)/(1+'Table G'!$B$18)*IF(ABS(((1+$A101)/(1+'Table G'!$B$18))-1)&lt;0.000000001,10,(1-((1+$A101)/(1+'Table G'!$B$18))^10)/(1-((1+$A101)/(1+'Table G'!$B$18))))+('Table G'!$B$14+'Table G'!$B$15)*(1+$A101)^(10-1)*(1+'Table G'!$B$25)/(('Table G'!$B$18-'Table G'!$B$25)*(1+'Table G'!$B$18)^10),"")</f>
        <v>64685.69185642399</v>
      </c>
      <c r="D101" s="17">
        <f>IFERROR(('Table G'!$B$14+'Table G'!$B$15)/(1+'Table G'!$B$18)*IF(ABS(((1+$A101)/(1+'Table G'!$B$18))-1)&lt;0.000000001,5,(1-((1+$A101)/(1+'Table G'!$B$18))^5)/(1-((1+$A101)/(1+'Table G'!$B$18))))+('Table G'!$B$14+'Table G'!$B$15)*(1+$A101)^(5-1)*(1+'Table G'!$B$26)/(('Table G'!$B$18-'Table G'!$B$26)*(1+'Table G'!$B$18)^5),"")</f>
        <v>72154.616674028453</v>
      </c>
      <c r="E101" s="17">
        <f>IFERROR(('Table G'!$B$14+'Table G'!$B$15)/(1+'Table G'!$B$18)*IF(ABS(((1+$A101)/(1+'Table G'!$B$18))-1)&lt;0.000000001,10,(1-((1+$A101)/(1+'Table G'!$B$18))^10)/(1-((1+$A101)/(1+'Table G'!$B$18))))+('Table G'!$B$14+'Table G'!$B$15)*(1+$A101)^(10-1)*(1+'Table G'!$B$26)/(('Table G'!$B$18-'Table G'!$B$26)*(1+'Table G'!$B$18)^10),"")</f>
        <v>67473.497449583083</v>
      </c>
      <c r="F101" s="17">
        <f>IFERROR(('Table G'!$B$14+'Table G'!$B$15)/(1+'Table G'!$B$18)*IF(ABS(((1+$A101)/(1+'Table G'!$B$18))-1)&lt;0.000000001,5,(1-((1+$A101)/(1+'Table G'!$B$18))^5)/(1-((1+$A101)/(1+'Table G'!$B$18))))+('Table G'!$B$14+'Table G'!$B$15)*(1+$A101)^(5-1)*(1+'Table G'!$B$27)/(('Table G'!$B$18-'Table G'!$B$27)*(1+'Table G'!$B$18)^5),"")</f>
        <v>77046.7367385377</v>
      </c>
      <c r="G101" s="17">
        <f>IFERROR(('Table G'!$B$14+'Table G'!$B$15)/(1+'Table G'!$B$18)*IF(ABS(((1+$A101)/(1+'Table G'!$B$18))-1)&lt;0.000000001,10,(1-((1+$A101)/(1+'Table G'!$B$18))^10)/(1-((1+$A101)/(1+'Table G'!$B$18))))+('Table G'!$B$14+'Table G'!$B$15)*(1+$A101)^(10-1)*(1+'Table G'!$B$27)/(('Table G'!$B$18-'Table G'!$B$27)*(1+'Table G'!$B$18)^10),"")</f>
        <v>70746.607102387876</v>
      </c>
    </row>
    <row r="102" spans="1:7" x14ac:dyDescent="0.2">
      <c r="A102" s="8">
        <f>-0.1+98*$B$2</f>
        <v>-2.0000000000000018E-3</v>
      </c>
      <c r="B102" s="17">
        <f>IFERROR(('Table G'!$B$14+'Table G'!$B$15)/(1+'Table G'!$B$18)*IF(ABS(((1+$A102)/(1+'Table G'!$B$18))-1)&lt;0.000000001,5,(1-((1+$A102)/(1+'Table G'!$B$18))^5)/(1-((1+$A102)/(1+'Table G'!$B$18))))+('Table G'!$B$14+'Table G'!$B$15)*(1+$A102)^(5-1)*(1+'Table G'!$B$25)/(('Table G'!$B$18-'Table G'!$B$25)*(1+'Table G'!$B$18)^5),"")</f>
        <v>68219.351740959217</v>
      </c>
      <c r="C102" s="17">
        <f>IFERROR(('Table G'!$B$14+'Table G'!$B$15)/(1+'Table G'!$B$18)*IF(ABS(((1+$A102)/(1+'Table G'!$B$18))-1)&lt;0.000000001,10,(1-((1+$A102)/(1+'Table G'!$B$18))^10)/(1-((1+$A102)/(1+'Table G'!$B$18))))+('Table G'!$B$14+'Table G'!$B$15)*(1+$A102)^(10-1)*(1+'Table G'!$B$25)/(('Table G'!$B$18-'Table G'!$B$25)*(1+'Table G'!$B$18)^10),"")</f>
        <v>65105.397234099728</v>
      </c>
      <c r="D102" s="17">
        <f>IFERROR(('Table G'!$B$14+'Table G'!$B$15)/(1+'Table G'!$B$18)*IF(ABS(((1+$A102)/(1+'Table G'!$B$18))-1)&lt;0.000000001,5,(1-((1+$A102)/(1+'Table G'!$B$18))^5)/(1-((1+$A102)/(1+'Table G'!$B$18))))+('Table G'!$B$14+'Table G'!$B$15)*(1+$A102)^(5-1)*(1+'Table G'!$B$26)/(('Table G'!$B$18-'Table G'!$B$26)*(1+'Table G'!$B$18)^5),"")</f>
        <v>72402.859407734344</v>
      </c>
      <c r="E102" s="17">
        <f>IFERROR(('Table G'!$B$14+'Table G'!$B$15)/(1+'Table G'!$B$18)*IF(ABS(((1+$A102)/(1+'Table G'!$B$18))-1)&lt;0.000000001,10,(1-((1+$A102)/(1+'Table G'!$B$18))^10)/(1-((1+$A102)/(1+'Table G'!$B$18))))+('Table G'!$B$14+'Table G'!$B$15)*(1+$A102)^(10-1)*(1+'Table G'!$B$26)/(('Table G'!$B$18-'Table G'!$B$26)*(1+'Table G'!$B$18)^10),"")</f>
        <v>67918.469777379811</v>
      </c>
      <c r="F102" s="17">
        <f>IFERROR(('Table G'!$B$14+'Table G'!$B$15)/(1+'Table G'!$B$18)*IF(ABS(((1+$A102)/(1+'Table G'!$B$18))-1)&lt;0.000000001,5,(1-((1+$A102)/(1+'Table G'!$B$18))^5)/(1-((1+$A102)/(1+'Table G'!$B$18))))+('Table G'!$B$14+'Table G'!$B$15)*(1+$A102)^(5-1)*(1+'Table G'!$B$27)/(('Table G'!$B$18-'Table G'!$B$27)*(1+'Table G'!$B$18)^5),"")</f>
        <v>77314.636383971694</v>
      </c>
      <c r="G102" s="17">
        <f>IFERROR(('Table G'!$B$14+'Table G'!$B$15)/(1+'Table G'!$B$18)*IF(ABS(((1+$A102)/(1+'Table G'!$B$18))-1)&lt;0.000000001,10,(1-((1+$A102)/(1+'Table G'!$B$18))^10)/(1-((1+$A102)/(1+'Table G'!$B$18))))+('Table G'!$B$14+'Table G'!$B$15)*(1+$A102)^(10-1)*(1+'Table G'!$B$27)/(('Table G'!$B$18-'Table G'!$B$27)*(1+'Table G'!$B$18)^10),"")</f>
        <v>71221.244876921963</v>
      </c>
    </row>
    <row r="103" spans="1:7" x14ac:dyDescent="0.2">
      <c r="A103" s="8">
        <f>-0.1+99*$B$2</f>
        <v>-1.0000000000000009E-3</v>
      </c>
      <c r="B103" s="17">
        <f>IFERROR(('Table G'!$B$14+'Table G'!$B$15)/(1+'Table G'!$B$18)*IF(ABS(((1+$A103)/(1+'Table G'!$B$18))-1)&lt;0.000000001,5,(1-((1+$A103)/(1+'Table G'!$B$18))^5)/(1-((1+$A103)/(1+'Table G'!$B$18))))+('Table G'!$B$14+'Table G'!$B$15)*(1+$A103)^(5-1)*(1+'Table G'!$B$25)/(('Table G'!$B$18-'Table G'!$B$25)*(1+'Table G'!$B$18)^5),"")</f>
        <v>68451.510524306839</v>
      </c>
      <c r="C103" s="17">
        <f>IFERROR(('Table G'!$B$14+'Table G'!$B$15)/(1+'Table G'!$B$18)*IF(ABS(((1+$A103)/(1+'Table G'!$B$18))-1)&lt;0.000000001,10,(1-((1+$A103)/(1+'Table G'!$B$18))^10)/(1-((1+$A103)/(1+'Table G'!$B$18))))+('Table G'!$B$14+'Table G'!$B$15)*(1+$A103)^(10-1)*(1+'Table G'!$B$25)/(('Table G'!$B$18-'Table G'!$B$25)*(1+'Table G'!$B$18)^10),"")</f>
        <v>65528.096714436382</v>
      </c>
      <c r="D103" s="17">
        <f>IFERROR(('Table G'!$B$14+'Table G'!$B$15)/(1+'Table G'!$B$18)*IF(ABS(((1+$A103)/(1+'Table G'!$B$18))-1)&lt;0.000000001,5,(1-((1+$A103)/(1+'Table G'!$B$18))^5)/(1-((1+$A103)/(1+'Table G'!$B$18))))+('Table G'!$B$14+'Table G'!$B$15)*(1+$A103)^(5-1)*(1+'Table G'!$B$26)/(('Table G'!$B$18-'Table G'!$B$26)*(1+'Table G'!$B$18)^5),"")</f>
        <v>72651.810975471919</v>
      </c>
      <c r="E103" s="17">
        <f>IFERROR(('Table G'!$B$14+'Table G'!$B$15)/(1+'Table G'!$B$18)*IF(ABS(((1+$A103)/(1+'Table G'!$B$18))-1)&lt;0.000000001,10,(1-((1+$A103)/(1+'Table G'!$B$18))^10)/(1-((1+$A103)/(1+'Table G'!$B$18))))+('Table G'!$B$14+'Table G'!$B$15)*(1+$A103)^(10-1)*(1+'Table G'!$B$26)/(('Table G'!$B$18-'Table G'!$B$26)*(1+'Table G'!$B$18)^10),"")</f>
        <v>68366.639562377037</v>
      </c>
      <c r="F103" s="17">
        <f>IFERROR(('Table G'!$B$14+'Table G'!$B$15)/(1+'Table G'!$B$18)*IF(ABS(((1+$A103)/(1+'Table G'!$B$18))-1)&lt;0.000000001,5,(1-((1+$A103)/(1+'Table G'!$B$18))^5)/(1-((1+$A103)/(1+'Table G'!$B$18))))+('Table G'!$B$14+'Table G'!$B$15)*(1+$A103)^(5-1)*(1+'Table G'!$B$27)/(('Table G'!$B$18-'Table G'!$B$27)*(1+'Table G'!$B$18)^5),"")</f>
        <v>77583.304041245472</v>
      </c>
      <c r="G103" s="17">
        <f>IFERROR(('Table G'!$B$14+'Table G'!$B$15)/(1+'Table G'!$B$18)*IF(ABS(((1+$A103)/(1+'Table G'!$B$18))-1)&lt;0.000000001,10,(1-((1+$A103)/(1+'Table G'!$B$18))^10)/(1-((1+$A103)/(1+'Table G'!$B$18))))+('Table G'!$B$14+'Table G'!$B$15)*(1+$A103)^(10-1)*(1+'Table G'!$B$27)/(('Table G'!$B$18-'Table G'!$B$27)*(1+'Table G'!$B$18)^10),"")</f>
        <v>71699.318863363151</v>
      </c>
    </row>
    <row r="104" spans="1:7" x14ac:dyDescent="0.2">
      <c r="A104" s="8">
        <f>-0.1+100*$B$2</f>
        <v>0</v>
      </c>
      <c r="B104" s="17">
        <f>IFERROR(('Table G'!$B$14+'Table G'!$B$15)/(1+'Table G'!$B$18)*IF(ABS(((1+$A104)/(1+'Table G'!$B$18))-1)&lt;0.000000001,5,(1-((1+$A104)/(1+'Table G'!$B$18))^5)/(1-((1+$A104)/(1+'Table G'!$B$18))))+('Table G'!$B$14+'Table G'!$B$15)*(1+$A104)^(5-1)*(1+'Table G'!$B$25)/(('Table G'!$B$18-'Table G'!$B$25)*(1+'Table G'!$B$18)^5),"")</f>
        <v>68684.329021610058</v>
      </c>
      <c r="C104" s="17">
        <f>IFERROR(('Table G'!$B$14+'Table G'!$B$15)/(1+'Table G'!$B$18)*IF(ABS(((1+$A104)/(1+'Table G'!$B$18))-1)&lt;0.000000001,10,(1-((1+$A104)/(1+'Table G'!$B$18))^10)/(1-((1+$A104)/(1+'Table G'!$B$18))))+('Table G'!$B$14+'Table G'!$B$15)*(1+$A104)^(10-1)*(1+'Table G'!$B$25)/(('Table G'!$B$18-'Table G'!$B$25)*(1+'Table G'!$B$18)^10),"")</f>
        <v>65953.810131643491</v>
      </c>
      <c r="D104" s="17">
        <f>IFERROR(('Table G'!$B$14+'Table G'!$B$15)/(1+'Table G'!$B$18)*IF(ABS(((1+$A104)/(1+'Table G'!$B$18))-1)&lt;0.000000001,5,(1-((1+$A104)/(1+'Table G'!$B$18))^5)/(1-((1+$A104)/(1+'Table G'!$B$18))))+('Table G'!$B$14+'Table G'!$B$15)*(1+$A104)^(5-1)*(1+'Table G'!$B$26)/(('Table G'!$B$18-'Table G'!$B$26)*(1+'Table G'!$B$18)^5),"")</f>
        <v>72901.472761737576</v>
      </c>
      <c r="E104" s="17">
        <f>IFERROR(('Table G'!$B$14+'Table G'!$B$15)/(1+'Table G'!$B$18)*IF(ABS(((1+$A104)/(1+'Table G'!$B$18))-1)&lt;0.000000001,10,(1-((1+$A104)/(1+'Table G'!$B$18))^10)/(1-((1+$A104)/(1+'Table G'!$B$18))))+('Table G'!$B$14+'Table G'!$B$15)*(1+$A104)^(10-1)*(1+'Table G'!$B$26)/(('Table G'!$B$18-'Table G'!$B$26)*(1+'Table G'!$B$18)^10),"")</f>
        <v>68818.028069412088</v>
      </c>
      <c r="F104" s="17">
        <f>IFERROR(('Table G'!$B$14+'Table G'!$B$15)/(1+'Table G'!$B$18)*IF(ABS(((1+$A104)/(1+'Table G'!$B$18))-1)&lt;0.000000001,5,(1-((1+$A104)/(1+'Table G'!$B$18))^5)/(1-((1+$A104)/(1+'Table G'!$B$18))))+('Table G'!$B$14+'Table G'!$B$15)*(1+$A104)^(5-1)*(1+'Table G'!$B$27)/(('Table G'!$B$18-'Table G'!$B$27)*(1+'Table G'!$B$18)^5),"")</f>
        <v>77852.741213507616</v>
      </c>
      <c r="G104" s="17">
        <f>IFERROR(('Table G'!$B$14+'Table G'!$B$15)/(1+'Table G'!$B$18)*IF(ABS(((1+$A104)/(1+'Table G'!$B$18))-1)&lt;0.000000001,10,(1-((1+$A104)/(1+'Table G'!$B$18))^10)/(1-((1+$A104)/(1+'Table G'!$B$18))))+('Table G'!$B$14+'Table G'!$B$15)*(1+$A104)^(10-1)*(1+'Table G'!$B$27)/(('Table G'!$B$18-'Table G'!$B$27)*(1+'Table G'!$B$18)^10),"")</f>
        <v>72180.852006221685</v>
      </c>
    </row>
    <row r="105" spans="1:7" x14ac:dyDescent="0.2">
      <c r="A105" s="8">
        <f>-0.1+101*$B$2</f>
        <v>1.0000000000000009E-3</v>
      </c>
      <c r="B105" s="17">
        <f>IFERROR(('Table G'!$B$14+'Table G'!$B$15)/(1+'Table G'!$B$18)*IF(ABS(((1+$A105)/(1+'Table G'!$B$18))-1)&lt;0.000000001,5,(1-((1+$A105)/(1+'Table G'!$B$18))^5)/(1-((1+$A105)/(1+'Table G'!$B$18))))+('Table G'!$B$14+'Table G'!$B$15)*(1+$A105)^(5-1)*(1+'Table G'!$B$25)/(('Table G'!$B$18-'Table G'!$B$25)*(1+'Table G'!$B$18)^5),"")</f>
        <v>68917.808517569589</v>
      </c>
      <c r="C105" s="17">
        <f>IFERROR(('Table G'!$B$14+'Table G'!$B$15)/(1+'Table G'!$B$18)*IF(ABS(((1+$A105)/(1+'Table G'!$B$18))-1)&lt;0.000000001,10,(1-((1+$A105)/(1+'Table G'!$B$18))^10)/(1-((1+$A105)/(1+'Table G'!$B$18))))+('Table G'!$B$14+'Table G'!$B$15)*(1+$A105)^(10-1)*(1+'Table G'!$B$25)/(('Table G'!$B$18-'Table G'!$B$25)*(1+'Table G'!$B$18)^10),"")</f>
        <v>66382.557435237861</v>
      </c>
      <c r="D105" s="17">
        <f>IFERROR(('Table G'!$B$14+'Table G'!$B$15)/(1+'Table G'!$B$18)*IF(ABS(((1+$A105)/(1+'Table G'!$B$18))-1)&lt;0.000000001,5,(1-((1+$A105)/(1+'Table G'!$B$18))^5)/(1-((1+$A105)/(1+'Table G'!$B$18))))+('Table G'!$B$14+'Table G'!$B$15)*(1+$A105)^(5-1)*(1+'Table G'!$B$26)/(('Table G'!$B$18-'Table G'!$B$26)*(1+'Table G'!$B$18)^5),"")</f>
        <v>73151.846152392827</v>
      </c>
      <c r="E105" s="17">
        <f>IFERROR(('Table G'!$B$14+'Table G'!$B$15)/(1+'Table G'!$B$18)*IF(ABS(((1+$A105)/(1+'Table G'!$B$18))-1)&lt;0.000000001,10,(1-((1+$A105)/(1+'Table G'!$B$18))^10)/(1-((1+$A105)/(1+'Table G'!$B$18))))+('Table G'!$B$14+'Table G'!$B$15)*(1+$A105)^(10-1)*(1+'Table G'!$B$26)/(('Table G'!$B$18-'Table G'!$B$26)*(1+'Table G'!$B$18)^10),"")</f>
        <v>69272.656687247698</v>
      </c>
      <c r="F105" s="17">
        <f>IFERROR(('Table G'!$B$14+'Table G'!$B$15)/(1+'Table G'!$B$18)*IF(ABS(((1+$A105)/(1+'Table G'!$B$18))-1)&lt;0.000000001,5,(1-((1+$A105)/(1+'Table G'!$B$18))^5)/(1-((1+$A105)/(1+'Table G'!$B$18))))+('Table G'!$B$14+'Table G'!$B$15)*(1+$A105)^(5-1)*(1+'Table G'!$B$27)/(('Table G'!$B$18-'Table G'!$B$27)*(1+'Table G'!$B$18)^5),"")</f>
        <v>78122.949405390696</v>
      </c>
      <c r="G105" s="17">
        <f>IFERROR(('Table G'!$B$14+'Table G'!$B$15)/(1+'Table G'!$B$18)*IF(ABS(((1+$A105)/(1+'Table G'!$B$18))-1)&lt;0.000000001,10,(1-((1+$A105)/(1+'Table G'!$B$18))^10)/(1-((1+$A105)/(1+'Table G'!$B$18))))+('Table G'!$B$14+'Table G'!$B$15)*(1+$A105)^(10-1)*(1+'Table G'!$B$27)/(('Table G'!$B$18-'Table G'!$B$27)*(1+'Table G'!$B$18)^10),"")</f>
        <v>72665.867384051657</v>
      </c>
    </row>
    <row r="106" spans="1:7" x14ac:dyDescent="0.2">
      <c r="A106" s="8">
        <f>-0.1+102*$B$2</f>
        <v>2.0000000000000018E-3</v>
      </c>
      <c r="B106" s="17">
        <f>IFERROR(('Table G'!$B$14+'Table G'!$B$15)/(1+'Table G'!$B$18)*IF(ABS(((1+$A106)/(1+'Table G'!$B$18))-1)&lt;0.000000001,5,(1-((1+$A106)/(1+'Table G'!$B$18))^5)/(1-((1+$A106)/(1+'Table G'!$B$18))))+('Table G'!$B$14+'Table G'!$B$15)*(1+$A106)^(5-1)*(1+'Table G'!$B$25)/(('Table G'!$B$18-'Table G'!$B$25)*(1+'Table G'!$B$18)^5),"")</f>
        <v>69151.950298150274</v>
      </c>
      <c r="C106" s="17">
        <f>IFERROR(('Table G'!$B$14+'Table G'!$B$15)/(1+'Table G'!$B$18)*IF(ABS(((1+$A106)/(1+'Table G'!$B$18))-1)&lt;0.000000001,10,(1-((1+$A106)/(1+'Table G'!$B$18))^10)/(1-((1+$A106)/(1+'Table G'!$B$18))))+('Table G'!$B$14+'Table G'!$B$15)*(1+$A106)^(10-1)*(1+'Table G'!$B$25)/(('Table G'!$B$18-'Table G'!$B$25)*(1+'Table G'!$B$18)^10),"")</f>
        <v>66814.358690608773</v>
      </c>
      <c r="D106" s="17">
        <f>IFERROR(('Table G'!$B$14+'Table G'!$B$15)/(1+'Table G'!$B$18)*IF(ABS(((1+$A106)/(1+'Table G'!$B$18))-1)&lt;0.000000001,5,(1-((1+$A106)/(1+'Table G'!$B$18))^5)/(1-((1+$A106)/(1+'Table G'!$B$18))))+('Table G'!$B$14+'Table G'!$B$15)*(1+$A106)^(5-1)*(1+'Table G'!$B$26)/(('Table G'!$B$18-'Table G'!$B$26)*(1+'Table G'!$B$18)^5),"")</f>
        <v>73402.932534664651</v>
      </c>
      <c r="E106" s="17">
        <f>IFERROR(('Table G'!$B$14+'Table G'!$B$15)/(1+'Table G'!$B$18)*IF(ABS(((1+$A106)/(1+'Table G'!$B$18))-1)&lt;0.000000001,10,(1-((1+$A106)/(1+'Table G'!$B$18))^10)/(1-((1+$A106)/(1+'Table G'!$B$18))))+('Table G'!$B$14+'Table G'!$B$15)*(1+$A106)^(10-1)*(1+'Table G'!$B$26)/(('Table G'!$B$18-'Table G'!$B$26)*(1+'Table G'!$B$18)^10),"")</f>
        <v>69730.54692918052</v>
      </c>
      <c r="F106" s="17">
        <f>IFERROR(('Table G'!$B$14+'Table G'!$B$15)/(1+'Table G'!$B$18)*IF(ABS(((1+$A106)/(1+'Table G'!$B$18))-1)&lt;0.000000001,5,(1-((1+$A106)/(1+'Table G'!$B$18))^5)/(1-((1+$A106)/(1+'Table G'!$B$18))))+('Table G'!$B$14+'Table G'!$B$15)*(1+$A106)^(5-1)*(1+'Table G'!$B$27)/(('Table G'!$B$18-'Table G'!$B$27)*(1+'Table G'!$B$18)^5),"")</f>
        <v>78393.930123011494</v>
      </c>
      <c r="G106" s="17">
        <f>IFERROR(('Table G'!$B$14+'Table G'!$B$15)/(1+'Table G'!$B$18)*IF(ABS(((1+$A106)/(1+'Table G'!$B$18))-1)&lt;0.000000001,10,(1-((1+$A106)/(1+'Table G'!$B$18))^10)/(1-((1+$A106)/(1+'Table G'!$B$18))))+('Table G'!$B$14+'Table G'!$B$15)*(1+$A106)^(10-1)*(1+'Table G'!$B$27)/(('Table G'!$B$18-'Table G'!$B$27)*(1+'Table G'!$B$18)^10),"")</f>
        <v>73154.388210110308</v>
      </c>
    </row>
    <row r="107" spans="1:7" x14ac:dyDescent="0.2">
      <c r="A107" s="8">
        <f>-0.1+103*$B$2</f>
        <v>3.0000000000000027E-3</v>
      </c>
      <c r="B107" s="17">
        <f>IFERROR(('Table G'!$B$14+'Table G'!$B$15)/(1+'Table G'!$B$18)*IF(ABS(((1+$A107)/(1+'Table G'!$B$18))-1)&lt;0.000000001,5,(1-((1+$A107)/(1+'Table G'!$B$18))^5)/(1-((1+$A107)/(1+'Table G'!$B$18))))+('Table G'!$B$14+'Table G'!$B$15)*(1+$A107)^(5-1)*(1+'Table G'!$B$25)/(('Table G'!$B$18-'Table G'!$B$25)*(1+'Table G'!$B$18)^5),"")</f>
        <v>69386.75565058089</v>
      </c>
      <c r="C107" s="17">
        <f>IFERROR(('Table G'!$B$14+'Table G'!$B$15)/(1+'Table G'!$B$18)*IF(ABS(((1+$A107)/(1+'Table G'!$B$18))-1)&lt;0.000000001,10,(1-((1+$A107)/(1+'Table G'!$B$18))^10)/(1-((1+$A107)/(1+'Table G'!$B$18))))+('Table G'!$B$14+'Table G'!$B$15)*(1+$A107)^(10-1)*(1+'Table G'!$B$25)/(('Table G'!$B$18-'Table G'!$B$25)*(1+'Table G'!$B$18)^10),"")</f>
        <v>67249.234079584712</v>
      </c>
      <c r="D107" s="17">
        <f>IFERROR(('Table G'!$B$14+'Table G'!$B$15)/(1+'Table G'!$B$18)*IF(ABS(((1+$A107)/(1+'Table G'!$B$18))-1)&lt;0.000000001,5,(1-((1+$A107)/(1+'Table G'!$B$18))^5)/(1-((1+$A107)/(1+'Table G'!$B$18))))+('Table G'!$B$14+'Table G'!$B$15)*(1+$A107)^(5-1)*(1+'Table G'!$B$26)/(('Table G'!$B$18-'Table G'!$B$26)*(1+'Table G'!$B$18)^5),"")</f>
        <v>73654.733297145009</v>
      </c>
      <c r="E107" s="17">
        <f>IFERROR(('Table G'!$B$14+'Table G'!$B$15)/(1+'Table G'!$B$18)*IF(ABS(((1+$A107)/(1+'Table G'!$B$18))-1)&lt;0.000000001,10,(1-((1+$A107)/(1+'Table G'!$B$18))^10)/(1-((1+$A107)/(1+'Table G'!$B$18))))+('Table G'!$B$14+'Table G'!$B$15)*(1+$A107)^(10-1)*(1+'Table G'!$B$26)/(('Table G'!$B$18-'Table G'!$B$26)*(1+'Table G'!$B$18)^10),"")</f>
        <v>70191.720433651266</v>
      </c>
      <c r="F107" s="17">
        <f>IFERROR(('Table G'!$B$14+'Table G'!$B$15)/(1+'Table G'!$B$18)*IF(ABS(((1+$A107)/(1+'Table G'!$B$18))-1)&lt;0.000000001,5,(1-((1+$A107)/(1+'Table G'!$B$18))^5)/(1-((1+$A107)/(1+'Table G'!$B$18))))+('Table G'!$B$14+'Table G'!$B$15)*(1+$A107)^(5-1)*(1+'Table G'!$B$27)/(('Table G'!$B$18-'Table G'!$B$27)*(1+'Table G'!$B$18)^5),"")</f>
        <v>78665.684873970749</v>
      </c>
      <c r="G107" s="17">
        <f>IFERROR(('Table G'!$B$14+'Table G'!$B$15)/(1+'Table G'!$B$18)*IF(ABS(((1+$A107)/(1+'Table G'!$B$18))-1)&lt;0.000000001,10,(1-((1+$A107)/(1+'Table G'!$B$18))^10)/(1-((1+$A107)/(1+'Table G'!$B$18))))+('Table G'!$B$14+'Table G'!$B$15)*(1+$A107)^(10-1)*(1+'Table G'!$B$27)/(('Table G'!$B$18-'Table G'!$B$27)*(1+'Table G'!$B$18)^10),"")</f>
        <v>73646.437833019081</v>
      </c>
    </row>
    <row r="108" spans="1:7" x14ac:dyDescent="0.2">
      <c r="A108" s="8">
        <f>-0.1+104*$B$2</f>
        <v>4.0000000000000036E-3</v>
      </c>
      <c r="B108" s="17">
        <f>IFERROR(('Table G'!$B$14+'Table G'!$B$15)/(1+'Table G'!$B$18)*IF(ABS(((1+$A108)/(1+'Table G'!$B$18))-1)&lt;0.000000001,5,(1-((1+$A108)/(1+'Table G'!$B$18))^5)/(1-((1+$A108)/(1+'Table G'!$B$18))))+('Table G'!$B$14+'Table G'!$B$15)*(1+$A108)^(5-1)*(1+'Table G'!$B$25)/(('Table G'!$B$18-'Table G'!$B$25)*(1+'Table G'!$B$18)^5),"")</f>
        <v>69622.225863354164</v>
      </c>
      <c r="C108" s="17">
        <f>IFERROR(('Table G'!$B$14+'Table G'!$B$15)/(1+'Table G'!$B$18)*IF(ABS(((1+$A108)/(1+'Table G'!$B$18))-1)&lt;0.000000001,10,(1-((1+$A108)/(1+'Table G'!$B$18))^10)/(1-((1+$A108)/(1+'Table G'!$B$18))))+('Table G'!$B$14+'Table G'!$B$15)*(1+$A108)^(10-1)*(1+'Table G'!$B$25)/(('Table G'!$B$18-'Table G'!$B$25)*(1+'Table G'!$B$18)^10),"")</f>
        <v>67687.203901002955</v>
      </c>
      <c r="D108" s="17">
        <f>IFERROR(('Table G'!$B$14+'Table G'!$B$15)/(1+'Table G'!$B$18)*IF(ABS(((1+$A108)/(1+'Table G'!$B$18))-1)&lt;0.000000001,5,(1-((1+$A108)/(1+'Table G'!$B$18))^5)/(1-((1+$A108)/(1+'Table G'!$B$18))))+('Table G'!$B$14+'Table G'!$B$15)*(1+$A108)^(5-1)*(1+'Table G'!$B$26)/(('Table G'!$B$18-'Table G'!$B$26)*(1+'Table G'!$B$18)^5),"")</f>
        <v>73907.249829791166</v>
      </c>
      <c r="E108" s="17">
        <f>IFERROR(('Table G'!$B$14+'Table G'!$B$15)/(1+'Table G'!$B$18)*IF(ABS(((1+$A108)/(1+'Table G'!$B$18))-1)&lt;0.000000001,10,(1-((1+$A108)/(1+'Table G'!$B$18))^10)/(1-((1+$A108)/(1+'Table G'!$B$18))))+('Table G'!$B$14+'Table G'!$B$15)*(1+$A108)^(10-1)*(1+'Table G'!$B$26)/(('Table G'!$B$18-'Table G'!$B$26)*(1+'Table G'!$B$18)^10),"")</f>
        <v>70656.198964857773</v>
      </c>
      <c r="F108" s="17">
        <f>IFERROR(('Table G'!$B$14+'Table G'!$B$15)/(1+'Table G'!$B$18)*IF(ABS(((1+$A108)/(1+'Table G'!$B$18))-1)&lt;0.000000001,5,(1-((1+$A108)/(1+'Table G'!$B$18))^5)/(1-((1+$A108)/(1+'Table G'!$B$18))))+('Table G'!$B$14+'Table G'!$B$15)*(1+$A108)^(5-1)*(1+'Table G'!$B$27)/(('Table G'!$B$18-'Table G'!$B$27)*(1+'Table G'!$B$18)^5),"")</f>
        <v>78938.215167353133</v>
      </c>
      <c r="G108" s="17">
        <f>IFERROR(('Table G'!$B$14+'Table G'!$B$15)/(1+'Table G'!$B$18)*IF(ABS(((1+$A108)/(1+'Table G'!$B$18))-1)&lt;0.000000001,10,(1-((1+$A108)/(1+'Table G'!$B$18))^10)/(1-((1+$A108)/(1+'Table G'!$B$18))))+('Table G'!$B$14+'Table G'!$B$15)*(1+$A108)^(10-1)*(1+'Table G'!$B$27)/(('Table G'!$B$18-'Table G'!$B$27)*(1+'Table G'!$B$18)^10),"")</f>
        <v>74142.039737427884</v>
      </c>
    </row>
    <row r="109" spans="1:7" x14ac:dyDescent="0.2">
      <c r="A109" s="8">
        <f>-0.1+105*$B$2</f>
        <v>4.9999999999999906E-3</v>
      </c>
      <c r="B109" s="17">
        <f>IFERROR(('Table G'!$B$14+'Table G'!$B$15)/(1+'Table G'!$B$18)*IF(ABS(((1+$A109)/(1+'Table G'!$B$18))-1)&lt;0.000000001,5,(1-((1+$A109)/(1+'Table G'!$B$18))^5)/(1-((1+$A109)/(1+'Table G'!$B$18))))+('Table G'!$B$14+'Table G'!$B$15)*(1+$A109)^(5-1)*(1+'Table G'!$B$25)/(('Table G'!$B$18-'Table G'!$B$25)*(1+'Table G'!$B$18)^5),"")</f>
        <v>69858.362226226993</v>
      </c>
      <c r="C109" s="17">
        <f>IFERROR(('Table G'!$B$14+'Table G'!$B$15)/(1+'Table G'!$B$18)*IF(ABS(((1+$A109)/(1+'Table G'!$B$18))-1)&lt;0.000000001,10,(1-((1+$A109)/(1+'Table G'!$B$18))^10)/(1-((1+$A109)/(1+'Table G'!$B$18))))+('Table G'!$B$14+'Table G'!$B$15)*(1+$A109)^(10-1)*(1+'Table G'!$B$25)/(('Table G'!$B$18-'Table G'!$B$25)*(1+'Table G'!$B$18)^10),"")</f>
        <v>68128.288571281359</v>
      </c>
      <c r="D109" s="17">
        <f>IFERROR(('Table G'!$B$14+'Table G'!$B$15)/(1+'Table G'!$B$18)*IF(ABS(((1+$A109)/(1+'Table G'!$B$18))-1)&lt;0.000000001,5,(1-((1+$A109)/(1+'Table G'!$B$18))^5)/(1-((1+$A109)/(1+'Table G'!$B$18))))+('Table G'!$B$14+'Table G'!$B$15)*(1+$A109)^(5-1)*(1+'Table G'!$B$26)/(('Table G'!$B$18-'Table G'!$B$26)*(1+'Table G'!$B$18)^5),"")</f>
        <v>74160.483523925664</v>
      </c>
      <c r="E109" s="17">
        <f>IFERROR(('Table G'!$B$14+'Table G'!$B$15)/(1+'Table G'!$B$18)*IF(ABS(((1+$A109)/(1+'Table G'!$B$18))-1)&lt;0.000000001,10,(1-((1+$A109)/(1+'Table G'!$B$18))^10)/(1-((1+$A109)/(1+'Table G'!$B$18))))+('Table G'!$B$14+'Table G'!$B$15)*(1+$A109)^(10-1)*(1+'Table G'!$B$26)/(('Table G'!$B$18-'Table G'!$B$26)*(1+'Table G'!$B$18)^10),"")</f>
        <v>71124.004413370581</v>
      </c>
      <c r="F109" s="17">
        <f>IFERROR(('Table G'!$B$14+'Table G'!$B$15)/(1+'Table G'!$B$18)*IF(ABS(((1+$A109)/(1+'Table G'!$B$18))-1)&lt;0.000000001,5,(1-((1+$A109)/(1+'Table G'!$B$18))^5)/(1-((1+$A109)/(1+'Table G'!$B$18))))+('Table G'!$B$14+'Table G'!$B$15)*(1+$A109)^(5-1)*(1+'Table G'!$B$27)/(('Table G'!$B$18-'Table G'!$B$27)*(1+'Table G'!$B$18)^5),"")</f>
        <v>79211.522513727628</v>
      </c>
      <c r="G109" s="17">
        <f>IFERROR(('Table G'!$B$14+'Table G'!$B$15)/(1+'Table G'!$B$18)*IF(ABS(((1+$A109)/(1+'Table G'!$B$18))-1)&lt;0.000000001,10,(1-((1+$A109)/(1+'Table G'!$B$18))^10)/(1-((1+$A109)/(1+'Table G'!$B$18))))+('Table G'!$B$14+'Table G'!$B$15)*(1+$A109)^(10-1)*(1+'Table G'!$B$27)/(('Table G'!$B$18-'Table G'!$B$27)*(1+'Table G'!$B$18)^10),"")</f>
        <v>74641.217544681989</v>
      </c>
    </row>
    <row r="110" spans="1:7" x14ac:dyDescent="0.2">
      <c r="A110" s="8">
        <f>-0.1+106*$B$2</f>
        <v>5.9999999999999915E-3</v>
      </c>
      <c r="B110" s="17">
        <f>IFERROR(('Table G'!$B$14+'Table G'!$B$15)/(1+'Table G'!$B$18)*IF(ABS(((1+$A110)/(1+'Table G'!$B$18))-1)&lt;0.000000001,5,(1-((1+$A110)/(1+'Table G'!$B$18))^5)/(1-((1+$A110)/(1+'Table G'!$B$18))))+('Table G'!$B$14+'Table G'!$B$15)*(1+$A110)^(5-1)*(1+'Table G'!$B$25)/(('Table G'!$B$18-'Table G'!$B$25)*(1+'Table G'!$B$18)^5),"")</f>
        <v>70095.166030220294</v>
      </c>
      <c r="C110" s="17">
        <f>IFERROR(('Table G'!$B$14+'Table G'!$B$15)/(1+'Table G'!$B$18)*IF(ABS(((1+$A110)/(1+'Table G'!$B$18))-1)&lt;0.000000001,10,(1-((1+$A110)/(1+'Table G'!$B$18))^10)/(1-((1+$A110)/(1+'Table G'!$B$18))))+('Table G'!$B$14+'Table G'!$B$15)*(1+$A110)^(10-1)*(1+'Table G'!$B$25)/(('Table G'!$B$18-'Table G'!$B$25)*(1+'Table G'!$B$18)^10),"")</f>
        <v>68572.508624992101</v>
      </c>
      <c r="D110" s="17">
        <f>IFERROR(('Table G'!$B$14+'Table G'!$B$15)/(1+'Table G'!$B$18)*IF(ABS(((1+$A110)/(1+'Table G'!$B$18))-1)&lt;0.000000001,5,(1-((1+$A110)/(1+'Table G'!$B$18))^5)/(1-((1+$A110)/(1+'Table G'!$B$18))))+('Table G'!$B$14+'Table G'!$B$15)*(1+$A110)^(5-1)*(1+'Table G'!$B$26)/(('Table G'!$B$18-'Table G'!$B$26)*(1+'Table G'!$B$18)^5),"")</f>
        <v>74414.435772236349</v>
      </c>
      <c r="E110" s="17">
        <f>IFERROR(('Table G'!$B$14+'Table G'!$B$15)/(1+'Table G'!$B$18)*IF(ABS(((1+$A110)/(1+'Table G'!$B$18))-1)&lt;0.000000001,10,(1-((1+$A110)/(1+'Table G'!$B$18))^10)/(1-((1+$A110)/(1+'Table G'!$B$18))))+('Table G'!$B$14+'Table G'!$B$15)*(1+$A110)^(10-1)*(1+'Table G'!$B$26)/(('Table G'!$B$18-'Table G'!$B$26)*(1+'Table G'!$B$18)^10),"")</f>
        <v>71595.158796750693</v>
      </c>
      <c r="F110" s="17">
        <f>IFERROR(('Table G'!$B$14+'Table G'!$B$15)/(1+'Table G'!$B$18)*IF(ABS(((1+$A110)/(1+'Table G'!$B$18))-1)&lt;0.000000001,5,(1-((1+$A110)/(1+'Table G'!$B$18))^5)/(1-((1+$A110)/(1+'Table G'!$B$18))))+('Table G'!$B$14+'Table G'!$B$15)*(1+$A110)^(5-1)*(1+'Table G'!$B$27)/(('Table G'!$B$18-'Table G'!$B$27)*(1+'Table G'!$B$18)^5),"")</f>
        <v>79485.608425147235</v>
      </c>
      <c r="G110" s="17">
        <f>IFERROR(('Table G'!$B$14+'Table G'!$B$15)/(1+'Table G'!$B$18)*IF(ABS(((1+$A110)/(1+'Table G'!$B$18))-1)&lt;0.000000001,10,(1-((1+$A110)/(1+'Table G'!$B$18))^10)/(1-((1+$A110)/(1+'Table G'!$B$18))))+('Table G'!$B$14+'Table G'!$B$15)*(1+$A110)^(10-1)*(1+'Table G'!$B$27)/(('Table G'!$B$18-'Table G'!$B$27)*(1+'Table G'!$B$18)^10),"")</f>
        <v>75143.995013491338</v>
      </c>
    </row>
    <row r="111" spans="1:7" x14ac:dyDescent="0.2">
      <c r="A111" s="8">
        <f>-0.1+107*$B$2</f>
        <v>6.9999999999999923E-3</v>
      </c>
      <c r="B111" s="17">
        <f>IFERROR(('Table G'!$B$14+'Table G'!$B$15)/(1+'Table G'!$B$18)*IF(ABS(((1+$A111)/(1+'Table G'!$B$18))-1)&lt;0.000000001,5,(1-((1+$A111)/(1+'Table G'!$B$18))^5)/(1-((1+$A111)/(1+'Table G'!$B$18))))+('Table G'!$B$14+'Table G'!$B$15)*(1+$A111)^(5-1)*(1+'Table G'!$B$25)/(('Table G'!$B$18-'Table G'!$B$25)*(1+'Table G'!$B$18)^5),"")</f>
        <v>70332.638567618851</v>
      </c>
      <c r="C111" s="17">
        <f>IFERROR(('Table G'!$B$14+'Table G'!$B$15)/(1+'Table G'!$B$18)*IF(ABS(((1+$A111)/(1+'Table G'!$B$18))-1)&lt;0.000000001,10,(1-((1+$A111)/(1+'Table G'!$B$18))^10)/(1-((1+$A111)/(1+'Table G'!$B$18))))+('Table G'!$B$14+'Table G'!$B$15)*(1+$A111)^(10-1)*(1+'Table G'!$B$25)/(('Table G'!$B$18-'Table G'!$B$25)*(1+'Table G'!$B$18)^10),"")</f>
        <v>69019.884715437511</v>
      </c>
      <c r="D111" s="17">
        <f>IFERROR(('Table G'!$B$14+'Table G'!$B$15)/(1+'Table G'!$B$18)*IF(ABS(((1+$A111)/(1+'Table G'!$B$18))-1)&lt;0.000000001,5,(1-((1+$A111)/(1+'Table G'!$B$18))^5)/(1-((1+$A111)/(1+'Table G'!$B$18))))+('Table G'!$B$14+'Table G'!$B$15)*(1+$A111)^(5-1)*(1+'Table G'!$B$26)/(('Table G'!$B$18-'Table G'!$B$26)*(1+'Table G'!$B$18)^5),"")</f>
        <v>74669.107968776108</v>
      </c>
      <c r="E111" s="17">
        <f>IFERROR(('Table G'!$B$14+'Table G'!$B$15)/(1+'Table G'!$B$18)*IF(ABS(((1+$A111)/(1+'Table G'!$B$18))-1)&lt;0.000000001,10,(1-((1+$A111)/(1+'Table G'!$B$18))^10)/(1-((1+$A111)/(1+'Table G'!$B$18))))+('Table G'!$B$14+'Table G'!$B$15)*(1+$A111)^(10-1)*(1+'Table G'!$B$26)/(('Table G'!$B$18-'Table G'!$B$26)*(1+'Table G'!$B$18)^10),"")</f>
        <v>72069.684260169277</v>
      </c>
      <c r="F111" s="17">
        <f>IFERROR(('Table G'!$B$14+'Table G'!$B$15)/(1+'Table G'!$B$18)*IF(ABS(((1+$A111)/(1+'Table G'!$B$18))-1)&lt;0.000000001,5,(1-((1+$A111)/(1+'Table G'!$B$18))^5)/(1-((1+$A111)/(1+'Table G'!$B$18))))+('Table G'!$B$14+'Table G'!$B$15)*(1+$A111)^(5-1)*(1+'Table G'!$B$27)/(('Table G'!$B$18-'Table G'!$B$27)*(1+'Table G'!$B$18)^5),"")</f>
        <v>79760.474415148827</v>
      </c>
      <c r="G111" s="17">
        <f>IFERROR(('Table G'!$B$14+'Table G'!$B$15)/(1+'Table G'!$B$18)*IF(ABS(((1+$A111)/(1+'Table G'!$B$18))-1)&lt;0.000000001,10,(1-((1+$A111)/(1+'Table G'!$B$18))^10)/(1-((1+$A111)/(1+'Table G'!$B$18))))+('Table G'!$B$14+'Table G'!$B$15)*(1+$A111)^(10-1)*(1+'Table G'!$B$27)/(('Table G'!$B$18-'Table G'!$B$27)*(1+'Table G'!$B$18)^10),"")</f>
        <v>75650.396040602063</v>
      </c>
    </row>
    <row r="112" spans="1:7" x14ac:dyDescent="0.2">
      <c r="A112" s="8">
        <f>-0.1+108*$B$2</f>
        <v>7.9999999999999932E-3</v>
      </c>
      <c r="B112" s="17">
        <f>IFERROR(('Table G'!$B$14+'Table G'!$B$15)/(1+'Table G'!$B$18)*IF(ABS(((1+$A112)/(1+'Table G'!$B$18))-1)&lt;0.000000001,5,(1-((1+$A112)/(1+'Table G'!$B$18))^5)/(1-((1+$A112)/(1+'Table G'!$B$18))))+('Table G'!$B$14+'Table G'!$B$15)*(1+$A112)^(5-1)*(1+'Table G'!$B$25)/(('Table G'!$B$18-'Table G'!$B$25)*(1+'Table G'!$B$18)^5),"")</f>
        <v>70570.781131971627</v>
      </c>
      <c r="C112" s="17">
        <f>IFERROR(('Table G'!$B$14+'Table G'!$B$15)/(1+'Table G'!$B$18)*IF(ABS(((1+$A112)/(1+'Table G'!$B$18))-1)&lt;0.000000001,10,(1-((1+$A112)/(1+'Table G'!$B$18))^10)/(1-((1+$A112)/(1+'Table G'!$B$18))))+('Table G'!$B$14+'Table G'!$B$15)*(1+$A112)^(10-1)*(1+'Table G'!$B$25)/(('Table G'!$B$18-'Table G'!$B$25)*(1+'Table G'!$B$18)^10),"")</f>
        <v>69470.43761522905</v>
      </c>
      <c r="D112" s="17">
        <f>IFERROR(('Table G'!$B$14+'Table G'!$B$15)/(1+'Table G'!$B$18)*IF(ABS(((1+$A112)/(1+'Table G'!$B$18))-1)&lt;0.000000001,5,(1-((1+$A112)/(1+'Table G'!$B$18))^5)/(1-((1+$A112)/(1+'Table G'!$B$18))))+('Table G'!$B$14+'Table G'!$B$15)*(1+$A112)^(5-1)*(1+'Table G'!$B$26)/(('Table G'!$B$18-'Table G'!$B$26)*(1+'Table G'!$B$18)^5),"")</f>
        <v>74924.501508963236</v>
      </c>
      <c r="E112" s="17">
        <f>IFERROR(('Table G'!$B$14+'Table G'!$B$15)/(1+'Table G'!$B$18)*IF(ABS(((1+$A112)/(1+'Table G'!$B$18))-1)&lt;0.000000001,10,(1-((1+$A112)/(1+'Table G'!$B$18))^10)/(1-((1+$A112)/(1+'Table G'!$B$18))))+('Table G'!$B$14+'Table G'!$B$15)*(1+$A112)^(10-1)*(1+'Table G'!$B$26)/(('Table G'!$B$18-'Table G'!$B$26)*(1+'Table G'!$B$18)^10),"")</f>
        <v>72547.60307703109</v>
      </c>
      <c r="F112" s="17">
        <f>IFERROR(('Table G'!$B$14+'Table G'!$B$15)/(1+'Table G'!$B$18)*IF(ABS(((1+$A112)/(1+'Table G'!$B$18))-1)&lt;0.000000001,5,(1-((1+$A112)/(1+'Table G'!$B$18))^5)/(1-((1+$A112)/(1+'Table G'!$B$18))))+('Table G'!$B$14+'Table G'!$B$15)*(1+$A112)^(5-1)*(1+'Table G'!$B$27)/(('Table G'!$B$18-'Table G'!$B$27)*(1+'Table G'!$B$18)^5),"")</f>
        <v>80036.121998753588</v>
      </c>
      <c r="G112" s="17">
        <f>IFERROR(('Table G'!$B$14+'Table G'!$B$15)/(1+'Table G'!$B$18)*IF(ABS(((1+$A112)/(1+'Table G'!$B$18))-1)&lt;0.000000001,10,(1-((1+$A112)/(1+'Table G'!$B$18))^10)/(1-((1+$A112)/(1+'Table G'!$B$18))))+('Table G'!$B$14+'Table G'!$B$15)*(1+$A112)^(10-1)*(1+'Table G'!$B$27)/(('Table G'!$B$18-'Table G'!$B$27)*(1+'Table G'!$B$18)^10),"")</f>
        <v>76160.444661471862</v>
      </c>
    </row>
    <row r="113" spans="1:7" x14ac:dyDescent="0.2">
      <c r="A113" s="8">
        <f>-0.1+109*$B$2</f>
        <v>8.9999999999999941E-3</v>
      </c>
      <c r="B113" s="17">
        <f>IFERROR(('Table G'!$B$14+'Table G'!$B$15)/(1+'Table G'!$B$18)*IF(ABS(((1+$A113)/(1+'Table G'!$B$18))-1)&lt;0.000000001,5,(1-((1+$A113)/(1+'Table G'!$B$18))^5)/(1-((1+$A113)/(1+'Table G'!$B$18))))+('Table G'!$B$14+'Table G'!$B$15)*(1+$A113)^(5-1)*(1+'Table G'!$B$25)/(('Table G'!$B$18-'Table G'!$B$25)*(1+'Table G'!$B$18)^5),"")</f>
        <v>70809.595018091451</v>
      </c>
      <c r="C113" s="17">
        <f>IFERROR(('Table G'!$B$14+'Table G'!$B$15)/(1+'Table G'!$B$18)*IF(ABS(((1+$A113)/(1+'Table G'!$B$18))-1)&lt;0.000000001,10,(1-((1+$A113)/(1+'Table G'!$B$18))^10)/(1-((1+$A113)/(1+'Table G'!$B$18))))+('Table G'!$B$14+'Table G'!$B$15)*(1+$A113)^(10-1)*(1+'Table G'!$B$25)/(('Table G'!$B$18-'Table G'!$B$25)*(1+'Table G'!$B$18)^10),"")</f>
        <v>69924.188216867275</v>
      </c>
      <c r="D113" s="17">
        <f>IFERROR(('Table G'!$B$14+'Table G'!$B$15)/(1+'Table G'!$B$18)*IF(ABS(((1+$A113)/(1+'Table G'!$B$18))-1)&lt;0.000000001,5,(1-((1+$A113)/(1+'Table G'!$B$18))^5)/(1-((1+$A113)/(1+'Table G'!$B$18))))+('Table G'!$B$14+'Table G'!$B$15)*(1+$A113)^(5-1)*(1+'Table G'!$B$26)/(('Table G'!$B$18-'Table G'!$B$26)*(1+'Table G'!$B$18)^5),"")</f>
        <v>75180.617789581069</v>
      </c>
      <c r="E113" s="17">
        <f>IFERROR(('Table G'!$B$14+'Table G'!$B$15)/(1+'Table G'!$B$18)*IF(ABS(((1+$A113)/(1+'Table G'!$B$18))-1)&lt;0.000000001,10,(1-((1+$A113)/(1+'Table G'!$B$18))^10)/(1-((1+$A113)/(1+'Table G'!$B$18))))+('Table G'!$B$14+'Table G'!$B$15)*(1+$A113)^(10-1)*(1+'Table G'!$B$26)/(('Table G'!$B$18-'Table G'!$B$26)*(1+'Table G'!$B$18)^10),"")</f>
        <v>73028.937649598796</v>
      </c>
      <c r="F113" s="17">
        <f>IFERROR(('Table G'!$B$14+'Table G'!$B$15)/(1+'Table G'!$B$18)*IF(ABS(((1+$A113)/(1+'Table G'!$B$18))-1)&lt;0.000000001,5,(1-((1+$A113)/(1+'Table G'!$B$18))^5)/(1-((1+$A113)/(1+'Table G'!$B$18))))+('Table G'!$B$14+'Table G'!$B$15)*(1+$A113)^(5-1)*(1+'Table G'!$B$27)/(('Table G'!$B$18-'Table G'!$B$27)*(1+'Table G'!$B$18)^5),"")</f>
        <v>80312.552692466474</v>
      </c>
      <c r="G113" s="17">
        <f>IFERROR(('Table G'!$B$14+'Table G'!$B$15)/(1+'Table G'!$B$18)*IF(ABS(((1+$A113)/(1+'Table G'!$B$18))-1)&lt;0.000000001,10,(1-((1+$A113)/(1+'Table G'!$B$18))^10)/(1-((1+$A113)/(1+'Table G'!$B$18))))+('Table G'!$B$14+'Table G'!$B$15)*(1+$A113)^(10-1)*(1+'Table G'!$B$27)/(('Table G'!$B$18-'Table G'!$B$27)*(1+'Table G'!$B$18)^10),"")</f>
        <v>76674.165050946467</v>
      </c>
    </row>
    <row r="114" spans="1:7" x14ac:dyDescent="0.2">
      <c r="A114" s="8">
        <f>-0.1+110*$B$2</f>
        <v>9.999999999999995E-3</v>
      </c>
      <c r="B114" s="17">
        <f>IFERROR(('Table G'!$B$14+'Table G'!$B$15)/(1+'Table G'!$B$18)*IF(ABS(((1+$A114)/(1+'Table G'!$B$18))-1)&lt;0.000000001,5,(1-((1+$A114)/(1+'Table G'!$B$18))^5)/(1-((1+$A114)/(1+'Table G'!$B$18))))+('Table G'!$B$14+'Table G'!$B$15)*(1+$A114)^(5-1)*(1+'Table G'!$B$25)/(('Table G'!$B$18-'Table G'!$B$25)*(1+'Table G'!$B$18)^5),"")</f>
        <v>71049.081522055349</v>
      </c>
      <c r="C114" s="17">
        <f>IFERROR(('Table G'!$B$14+'Table G'!$B$15)/(1+'Table G'!$B$18)*IF(ABS(((1+$A114)/(1+'Table G'!$B$18))-1)&lt;0.000000001,10,(1-((1+$A114)/(1+'Table G'!$B$18))^10)/(1-((1+$A114)/(1+'Table G'!$B$18))))+('Table G'!$B$14+'Table G'!$B$15)*(1+$A114)^(10-1)*(1+'Table G'!$B$25)/(('Table G'!$B$18-'Table G'!$B$25)*(1+'Table G'!$B$18)^10),"")</f>
        <v>70381.157533325459</v>
      </c>
      <c r="D114" s="17">
        <f>IFERROR(('Table G'!$B$14+'Table G'!$B$15)/(1+'Table G'!$B$18)*IF(ABS(((1+$A114)/(1+'Table G'!$B$18))-1)&lt;0.000000001,5,(1-((1+$A114)/(1+'Table G'!$B$18))^5)/(1-((1+$A114)/(1+'Table G'!$B$18))))+('Table G'!$B$14+'Table G'!$B$15)*(1+$A114)^(5-1)*(1+'Table G'!$B$26)/(('Table G'!$B$18-'Table G'!$B$26)*(1+'Table G'!$B$18)^5),"")</f>
        <v>75437.458208778437</v>
      </c>
      <c r="E114" s="17">
        <f>IFERROR(('Table G'!$B$14+'Table G'!$B$15)/(1+'Table G'!$B$18)*IF(ABS(((1+$A114)/(1+'Table G'!$B$18))-1)&lt;0.000000001,10,(1-((1+$A114)/(1+'Table G'!$B$18))^10)/(1-((1+$A114)/(1+'Table G'!$B$18))))+('Table G'!$B$14+'Table G'!$B$15)*(1+$A114)^(10-1)*(1+'Table G'!$B$26)/(('Table G'!$B$18-'Table G'!$B$26)*(1+'Table G'!$B$18)^10),"")</f>
        <v>73513.710509621349</v>
      </c>
      <c r="F114" s="17">
        <f>IFERROR(('Table G'!$B$14+'Table G'!$B$15)/(1+'Table G'!$B$18)*IF(ABS(((1+$A114)/(1+'Table G'!$B$18))-1)&lt;0.000000001,5,(1-((1+$A114)/(1+'Table G'!$B$18))^5)/(1-((1+$A114)/(1+'Table G'!$B$18))))+('Table G'!$B$14+'Table G'!$B$15)*(1+$A114)^(5-1)*(1+'Table G'!$B$27)/(('Table G'!$B$18-'Table G'!$B$27)*(1+'Table G'!$B$18)^5),"")</f>
        <v>80589.768014276837</v>
      </c>
      <c r="G114" s="17">
        <f>IFERROR(('Table G'!$B$14+'Table G'!$B$15)/(1+'Table G'!$B$18)*IF(ABS(((1+$A114)/(1+'Table G'!$B$18))-1)&lt;0.000000001,10,(1-((1+$A114)/(1+'Table G'!$B$18))^10)/(1-((1+$A114)/(1+'Table G'!$B$18))))+('Table G'!$B$14+'Table G'!$B$15)*(1+$A114)^(10-1)*(1+'Table G'!$B$27)/(('Table G'!$B$18-'Table G'!$B$27)*(1+'Table G'!$B$18)^10),"")</f>
        <v>77191.581523940433</v>
      </c>
    </row>
    <row r="115" spans="1:7" x14ac:dyDescent="0.2">
      <c r="A115" s="8">
        <f>-0.1+111*$B$2</f>
        <v>1.0999999999999996E-2</v>
      </c>
      <c r="B115" s="17">
        <f>IFERROR(('Table G'!$B$14+'Table G'!$B$15)/(1+'Table G'!$B$18)*IF(ABS(((1+$A115)/(1+'Table G'!$B$18))-1)&lt;0.000000001,5,(1-((1+$A115)/(1+'Table G'!$B$18))^5)/(1-((1+$A115)/(1+'Table G'!$B$18))))+('Table G'!$B$14+'Table G'!$B$15)*(1+$A115)^(5-1)*(1+'Table G'!$B$25)/(('Table G'!$B$18-'Table G'!$B$25)*(1+'Table G'!$B$18)^5),"")</f>
        <v>71289.241941204193</v>
      </c>
      <c r="C115" s="17">
        <f>IFERROR(('Table G'!$B$14+'Table G'!$B$15)/(1+'Table G'!$B$18)*IF(ABS(((1+$A115)/(1+'Table G'!$B$18))-1)&lt;0.000000001,10,(1-((1+$A115)/(1+'Table G'!$B$18))^10)/(1-((1+$A115)/(1+'Table G'!$B$18))))+('Table G'!$B$14+'Table G'!$B$15)*(1+$A115)^(10-1)*(1+'Table G'!$B$25)/(('Table G'!$B$18-'Table G'!$B$25)*(1+'Table G'!$B$18)^10),"")</f>
        <v>70841.366698634112</v>
      </c>
      <c r="D115" s="17">
        <f>IFERROR(('Table G'!$B$14+'Table G'!$B$15)/(1+'Table G'!$B$18)*IF(ABS(((1+$A115)/(1+'Table G'!$B$18))-1)&lt;0.000000001,5,(1-((1+$A115)/(1+'Table G'!$B$18))^5)/(1-((1+$A115)/(1+'Table G'!$B$18))))+('Table G'!$B$14+'Table G'!$B$15)*(1+$A115)^(5-1)*(1+'Table G'!$B$26)/(('Table G'!$B$18-'Table G'!$B$26)*(1+'Table G'!$B$18)^5),"")</f>
        <v>75695.024166069124</v>
      </c>
      <c r="E115" s="17">
        <f>IFERROR(('Table G'!$B$14+'Table G'!$B$15)/(1+'Table G'!$B$18)*IF(ABS(((1+$A115)/(1+'Table G'!$B$18))-1)&lt;0.000000001,10,(1-((1+$A115)/(1+'Table G'!$B$18))^10)/(1-((1+$A115)/(1+'Table G'!$B$18))))+('Table G'!$B$14+'Table G'!$B$15)*(1+$A115)^(10-1)*(1+'Table G'!$B$26)/(('Table G'!$B$18-'Table G'!$B$26)*(1+'Table G'!$B$18)^10),"")</f>
        <v>74001.944318963069</v>
      </c>
      <c r="F115" s="17">
        <f>IFERROR(('Table G'!$B$14+'Table G'!$B$15)/(1+'Table G'!$B$18)*IF(ABS(((1+$A115)/(1+'Table G'!$B$18))-1)&lt;0.000000001,5,(1-((1+$A115)/(1+'Table G'!$B$18))^5)/(1-((1+$A115)/(1+'Table G'!$B$18))))+('Table G'!$B$14+'Table G'!$B$15)*(1+$A115)^(5-1)*(1+'Table G'!$B$27)/(('Table G'!$B$18-'Table G'!$B$27)*(1+'Table G'!$B$18)^5),"")</f>
        <v>80867.769483657787</v>
      </c>
      <c r="G115" s="17">
        <f>IFERROR(('Table G'!$B$14+'Table G'!$B$15)/(1+'Table G'!$B$18)*IF(ABS(((1+$A115)/(1+'Table G'!$B$18))-1)&lt;0.000000001,10,(1-((1+$A115)/(1+'Table G'!$B$18))^10)/(1-((1+$A115)/(1+'Table G'!$B$18))))+('Table G'!$B$14+'Table G'!$B$15)*(1+$A115)^(10-1)*(1+'Table G'!$B$27)/(('Table G'!$B$18-'Table G'!$B$27)*(1+'Table G'!$B$18)^10),"")</f>
        <v>77712.718536118889</v>
      </c>
    </row>
    <row r="116" spans="1:7" x14ac:dyDescent="0.2">
      <c r="A116" s="8">
        <f>-0.1+112*$B$2</f>
        <v>1.1999999999999997E-2</v>
      </c>
      <c r="B116" s="17">
        <f>IFERROR(('Table G'!$B$14+'Table G'!$B$15)/(1+'Table G'!$B$18)*IF(ABS(((1+$A116)/(1+'Table G'!$B$18))-1)&lt;0.000000001,5,(1-((1+$A116)/(1+'Table G'!$B$18))^5)/(1-((1+$A116)/(1+'Table G'!$B$18))))+('Table G'!$B$14+'Table G'!$B$15)*(1+$A116)^(5-1)*(1+'Table G'!$B$25)/(('Table G'!$B$18-'Table G'!$B$25)*(1+'Table G'!$B$18)^5),"")</f>
        <v>71530.077574143026</v>
      </c>
      <c r="C116" s="17">
        <f>IFERROR(('Table G'!$B$14+'Table G'!$B$15)/(1+'Table G'!$B$18)*IF(ABS(((1+$A116)/(1+'Table G'!$B$18))-1)&lt;0.000000001,10,(1-((1+$A116)/(1+'Table G'!$B$18))^10)/(1-((1+$A116)/(1+'Table G'!$B$18))))+('Table G'!$B$14+'Table G'!$B$15)*(1+$A116)^(10-1)*(1+'Table G'!$B$25)/(('Table G'!$B$18-'Table G'!$B$25)*(1+'Table G'!$B$18)^10),"")</f>
        <v>71304.836968469041</v>
      </c>
      <c r="D116" s="17">
        <f>IFERROR(('Table G'!$B$14+'Table G'!$B$15)/(1+'Table G'!$B$18)*IF(ABS(((1+$A116)/(1+'Table G'!$B$18))-1)&lt;0.000000001,5,(1-((1+$A116)/(1+'Table G'!$B$18))^5)/(1-((1+$A116)/(1+'Table G'!$B$18))))+('Table G'!$B$14+'Table G'!$B$15)*(1+$A116)^(5-1)*(1+'Table G'!$B$26)/(('Table G'!$B$18-'Table G'!$B$26)*(1+'Table G'!$B$18)^5),"")</f>
        <v>75953.317062332353</v>
      </c>
      <c r="E116" s="17">
        <f>IFERROR(('Table G'!$B$14+'Table G'!$B$15)/(1+'Table G'!$B$18)*IF(ABS(((1+$A116)/(1+'Table G'!$B$18))-1)&lt;0.000000001,10,(1-((1+$A116)/(1+'Table G'!$B$18))^10)/(1-((1+$A116)/(1+'Table G'!$B$18))))+('Table G'!$B$14+'Table G'!$B$15)*(1+$A116)^(10-1)*(1+'Table G'!$B$26)/(('Table G'!$B$18-'Table G'!$B$26)*(1+'Table G'!$B$18)^10),"")</f>
        <v>74493.661870236931</v>
      </c>
      <c r="F116" s="17">
        <f>IFERROR(('Table G'!$B$14+'Table G'!$B$15)/(1+'Table G'!$B$18)*IF(ABS(((1+$A116)/(1+'Table G'!$B$18))-1)&lt;0.000000001,5,(1-((1+$A116)/(1+'Table G'!$B$18))^5)/(1-((1+$A116)/(1+'Table G'!$B$18))))+('Table G'!$B$14+'Table G'!$B$15)*(1+$A116)^(5-1)*(1+'Table G'!$B$27)/(('Table G'!$B$18-'Table G'!$B$27)*(1+'Table G'!$B$18)^5),"")</f>
        <v>81146.558621566728</v>
      </c>
      <c r="G116" s="17">
        <f>IFERROR(('Table G'!$B$14+'Table G'!$B$15)/(1+'Table G'!$B$18)*IF(ABS(((1+$A116)/(1+'Table G'!$B$18))-1)&lt;0.000000001,10,(1-((1+$A116)/(1+'Table G'!$B$18))^10)/(1-((1+$A116)/(1+'Table G'!$B$18))))+('Table G'!$B$14+'Table G'!$B$15)*(1+$A116)^(10-1)*(1+'Table G'!$B$27)/(('Table G'!$B$18-'Table G'!$B$27)*(1+'Table G'!$B$18)^10),"")</f>
        <v>78237.600684583478</v>
      </c>
    </row>
    <row r="117" spans="1:7" x14ac:dyDescent="0.2">
      <c r="A117" s="8">
        <f>-0.1+113*$B$2</f>
        <v>1.2999999999999998E-2</v>
      </c>
      <c r="B117" s="17">
        <f>IFERROR(('Table G'!$B$14+'Table G'!$B$15)/(1+'Table G'!$B$18)*IF(ABS(((1+$A117)/(1+'Table G'!$B$18))-1)&lt;0.000000001,5,(1-((1+$A117)/(1+'Table G'!$B$18))^5)/(1-((1+$A117)/(1+'Table G'!$B$18))))+('Table G'!$B$14+'Table G'!$B$15)*(1+$A117)^(5-1)*(1+'Table G'!$B$25)/(('Table G'!$B$18-'Table G'!$B$25)*(1+'Table G'!$B$18)^5),"")</f>
        <v>71771.589720740798</v>
      </c>
      <c r="C117" s="17">
        <f>IFERROR(('Table G'!$B$14+'Table G'!$B$15)/(1+'Table G'!$B$18)*IF(ABS(((1+$A117)/(1+'Table G'!$B$18))-1)&lt;0.000000001,10,(1-((1+$A117)/(1+'Table G'!$B$18))^10)/(1-((1+$A117)/(1+'Table G'!$B$18))))+('Table G'!$B$14+'Table G'!$B$15)*(1+$A117)^(10-1)*(1+'Table G'!$B$25)/(('Table G'!$B$18-'Table G'!$B$25)*(1+'Table G'!$B$18)^10),"")</f>
        <v>71771.589720740783</v>
      </c>
      <c r="D117" s="17">
        <f>IFERROR(('Table G'!$B$14+'Table G'!$B$15)/(1+'Table G'!$B$18)*IF(ABS(((1+$A117)/(1+'Table G'!$B$18))-1)&lt;0.000000001,5,(1-((1+$A117)/(1+'Table G'!$B$18))^5)/(1-((1+$A117)/(1+'Table G'!$B$18))))+('Table G'!$B$14+'Table G'!$B$15)*(1+$A117)^(5-1)*(1+'Table G'!$B$26)/(('Table G'!$B$18-'Table G'!$B$26)*(1+'Table G'!$B$18)^5),"")</f>
        <v>76212.338299812458</v>
      </c>
      <c r="E117" s="17">
        <f>IFERROR(('Table G'!$B$14+'Table G'!$B$15)/(1+'Table G'!$B$18)*IF(ABS(((1+$A117)/(1+'Table G'!$B$18))-1)&lt;0.000000001,10,(1-((1+$A117)/(1+'Table G'!$B$18))^10)/(1-((1+$A117)/(1+'Table G'!$B$18))))+('Table G'!$B$14+'Table G'!$B$15)*(1+$A117)^(10-1)*(1+'Table G'!$B$26)/(('Table G'!$B$18-'Table G'!$B$26)*(1+'Table G'!$B$18)^10),"")</f>
        <v>74988.886087438936</v>
      </c>
      <c r="F117" s="17">
        <f>IFERROR(('Table G'!$B$14+'Table G'!$B$15)/(1+'Table G'!$B$18)*IF(ABS(((1+$A117)/(1+'Table G'!$B$18))-1)&lt;0.000000001,5,(1-((1+$A117)/(1+'Table G'!$B$18))^5)/(1-((1+$A117)/(1+'Table G'!$B$18))))+('Table G'!$B$14+'Table G'!$B$15)*(1+$A117)^(5-1)*(1+'Table G'!$B$27)/(('Table G'!$B$18-'Table G'!$B$27)*(1+'Table G'!$B$18)^5),"")</f>
        <v>81426.136950444954</v>
      </c>
      <c r="G117" s="17">
        <f>IFERROR(('Table G'!$B$14+'Table G'!$B$15)/(1+'Table G'!$B$18)*IF(ABS(((1+$A117)/(1+'Table G'!$B$18))-1)&lt;0.000000001,10,(1-((1+$A117)/(1+'Table G'!$B$18))^10)/(1-((1+$A117)/(1+'Table G'!$B$18))))+('Table G'!$B$14+'Table G'!$B$15)*(1+$A117)^(10-1)*(1+'Table G'!$B$27)/(('Table G'!$B$18-'Table G'!$B$27)*(1+'Table G'!$B$18)^10),"")</f>
        <v>78766.252708559914</v>
      </c>
    </row>
    <row r="118" spans="1:7" x14ac:dyDescent="0.2">
      <c r="A118" s="8">
        <f>-0.1+114*$B$2</f>
        <v>1.3999999999999999E-2</v>
      </c>
      <c r="B118" s="17">
        <f>IFERROR(('Table G'!$B$14+'Table G'!$B$15)/(1+'Table G'!$B$18)*IF(ABS(((1+$A118)/(1+'Table G'!$B$18))-1)&lt;0.000000001,5,(1-((1+$A118)/(1+'Table G'!$B$18))^5)/(1-((1+$A118)/(1+'Table G'!$B$18))))+('Table G'!$B$14+'Table G'!$B$15)*(1+$A118)^(5-1)*(1+'Table G'!$B$25)/(('Table G'!$B$18-'Table G'!$B$25)*(1+'Table G'!$B$18)^5),"")</f>
        <v>72013.779682130582</v>
      </c>
      <c r="C118" s="17">
        <f>IFERROR(('Table G'!$B$14+'Table G'!$B$15)/(1+'Table G'!$B$18)*IF(ABS(((1+$A118)/(1+'Table G'!$B$18))-1)&lt;0.000000001,10,(1-((1+$A118)/(1+'Table G'!$B$18))^10)/(1-((1+$A118)/(1+'Table G'!$B$18))))+('Table G'!$B$14+'Table G'!$B$15)*(1+$A118)^(10-1)*(1+'Table G'!$B$25)/(('Table G'!$B$18-'Table G'!$B$25)*(1+'Table G'!$B$18)^10),"")</f>
        <v>72241.646456186965</v>
      </c>
      <c r="D118" s="17">
        <f>IFERROR(('Table G'!$B$14+'Table G'!$B$15)/(1+'Table G'!$B$18)*IF(ABS(((1+$A118)/(1+'Table G'!$B$18))-1)&lt;0.000000001,5,(1-((1+$A118)/(1+'Table G'!$B$18))^5)/(1-((1+$A118)/(1+'Table G'!$B$18))))+('Table G'!$B$14+'Table G'!$B$15)*(1+$A118)^(5-1)*(1+'Table G'!$B$26)/(('Table G'!$B$18-'Table G'!$B$26)*(1+'Table G'!$B$18)^5),"")</f>
        <v>76472.089282119108</v>
      </c>
      <c r="E118" s="17">
        <f>IFERROR(('Table G'!$B$14+'Table G'!$B$15)/(1+'Table G'!$B$18)*IF(ABS(((1+$A118)/(1+'Table G'!$B$18))-1)&lt;0.000000001,10,(1-((1+$A118)/(1+'Table G'!$B$18))^10)/(1-((1+$A118)/(1+'Table G'!$B$18))))+('Table G'!$B$14+'Table G'!$B$15)*(1+$A118)^(10-1)*(1+'Table G'!$B$26)/(('Table G'!$B$18-'Table G'!$B$26)*(1+'Table G'!$B$18)^10),"")</f>
        <v>75487.640026585985</v>
      </c>
      <c r="F118" s="17">
        <f>IFERROR(('Table G'!$B$14+'Table G'!$B$15)/(1+'Table G'!$B$18)*IF(ABS(((1+$A118)/(1+'Table G'!$B$18))-1)&lt;0.000000001,5,(1-((1+$A118)/(1+'Table G'!$B$18))^5)/(1-((1+$A118)/(1+'Table G'!$B$18))))+('Table G'!$B$14+'Table G'!$B$15)*(1+$A118)^(5-1)*(1+'Table G'!$B$27)/(('Table G'!$B$18-'Table G'!$B$27)*(1+'Table G'!$B$18)^5),"")</f>
        <v>81706.505994218009</v>
      </c>
      <c r="G118" s="17">
        <f>IFERROR(('Table G'!$B$14+'Table G'!$B$15)/(1+'Table G'!$B$18)*IF(ABS(((1+$A118)/(1+'Table G'!$B$18))-1)&lt;0.000000001,10,(1-((1+$A118)/(1+'Table G'!$B$18))^10)/(1-((1+$A118)/(1+'Table G'!$B$18))))+('Table G'!$B$14+'Table G'!$B$15)*(1+$A118)^(10-1)*(1+'Table G'!$B$27)/(('Table G'!$B$18-'Table G'!$B$27)*(1+'Table G'!$B$18)^10),"")</f>
        <v>79298.699490088911</v>
      </c>
    </row>
    <row r="119" spans="1:7" x14ac:dyDescent="0.2">
      <c r="A119" s="8">
        <f>-0.1+115*$B$2</f>
        <v>1.4999999999999999E-2</v>
      </c>
      <c r="B119" s="17">
        <f>IFERROR(('Table G'!$B$14+'Table G'!$B$15)/(1+'Table G'!$B$18)*IF(ABS(((1+$A119)/(1+'Table G'!$B$18))-1)&lt;0.000000001,5,(1-((1+$A119)/(1+'Table G'!$B$18))^5)/(1-((1+$A119)/(1+'Table G'!$B$18))))+('Table G'!$B$14+'Table G'!$B$15)*(1+$A119)^(5-1)*(1+'Table G'!$B$25)/(('Table G'!$B$18-'Table G'!$B$25)*(1+'Table G'!$B$18)^5),"")</f>
        <v>72256.648760709286</v>
      </c>
      <c r="C119" s="17">
        <f>IFERROR(('Table G'!$B$14+'Table G'!$B$15)/(1+'Table G'!$B$18)*IF(ABS(((1+$A119)/(1+'Table G'!$B$18))-1)&lt;0.000000001,10,(1-((1+$A119)/(1+'Table G'!$B$18))^10)/(1-((1+$A119)/(1+'Table G'!$B$18))))+('Table G'!$B$14+'Table G'!$B$15)*(1+$A119)^(10-1)*(1+'Table G'!$B$25)/(('Table G'!$B$18-'Table G'!$B$25)*(1+'Table G'!$B$18)^10),"")</f>
        <v>72715.028798966116</v>
      </c>
      <c r="D119" s="17">
        <f>IFERROR(('Table G'!$B$14+'Table G'!$B$15)/(1+'Table G'!$B$18)*IF(ABS(((1+$A119)/(1+'Table G'!$B$18))-1)&lt;0.000000001,5,(1-((1+$A119)/(1+'Table G'!$B$18))^5)/(1-((1+$A119)/(1+'Table G'!$B$18))))+('Table G'!$B$14+'Table G'!$B$15)*(1+$A119)^(5-1)*(1+'Table G'!$B$26)/(('Table G'!$B$18-'Table G'!$B$26)*(1+'Table G'!$B$18)^5),"")</f>
        <v>76732.571414227015</v>
      </c>
      <c r="E119" s="17">
        <f>IFERROR(('Table G'!$B$14+'Table G'!$B$15)/(1+'Table G'!$B$18)*IF(ABS(((1+$A119)/(1+'Table G'!$B$18))-1)&lt;0.000000001,10,(1-((1+$A119)/(1+'Table G'!$B$18))^10)/(1-((1+$A119)/(1+'Table G'!$B$18))))+('Table G'!$B$14+'Table G'!$B$15)*(1+$A119)^(10-1)*(1+'Table G'!$B$26)/(('Table G'!$B$18-'Table G'!$B$26)*(1+'Table G'!$B$18)^10),"")</f>
        <v>75989.946876355069</v>
      </c>
      <c r="F119" s="17">
        <f>IFERROR(('Table G'!$B$14+'Table G'!$B$15)/(1+'Table G'!$B$18)*IF(ABS(((1+$A119)/(1+'Table G'!$B$18))-1)&lt;0.000000001,5,(1-((1+$A119)/(1+'Table G'!$B$18))^5)/(1-((1+$A119)/(1+'Table G'!$B$18))))+('Table G'!$B$14+'Table G'!$B$15)*(1+$A119)^(5-1)*(1+'Table G'!$B$27)/(('Table G'!$B$18-'Table G'!$B$27)*(1+'Table G'!$B$18)^5),"")</f>
        <v>81987.667278295208</v>
      </c>
      <c r="G119" s="17">
        <f>IFERROR(('Table G'!$B$14+'Table G'!$B$15)/(1+'Table G'!$B$18)*IF(ABS(((1+$A119)/(1+'Table G'!$B$18))-1)&lt;0.000000001,10,(1-((1+$A119)/(1+'Table G'!$B$18))^10)/(1-((1+$A119)/(1+'Table G'!$B$18))))+('Table G'!$B$14+'Table G'!$B$15)*(1+$A119)^(10-1)*(1+'Table G'!$B$27)/(('Table G'!$B$18-'Table G'!$B$27)*(1+'Table G'!$B$18)^10),"")</f>
        <v>79834.966054718941</v>
      </c>
    </row>
    <row r="120" spans="1:7" x14ac:dyDescent="0.2">
      <c r="A120" s="8">
        <f>-0.1+116*$B$2</f>
        <v>1.6E-2</v>
      </c>
      <c r="B120" s="17">
        <f>IFERROR(('Table G'!$B$14+'Table G'!$B$15)/(1+'Table G'!$B$18)*IF(ABS(((1+$A120)/(1+'Table G'!$B$18))-1)&lt;0.000000001,5,(1-((1+$A120)/(1+'Table G'!$B$18))^5)/(1-((1+$A120)/(1+'Table G'!$B$18))))+('Table G'!$B$14+'Table G'!$B$15)*(1+$A120)^(5-1)*(1+'Table G'!$B$25)/(('Table G'!$B$18-'Table G'!$B$25)*(1+'Table G'!$B$18)^5),"")</f>
        <v>72500.198260138131</v>
      </c>
      <c r="C120" s="17">
        <f>IFERROR(('Table G'!$B$14+'Table G'!$B$15)/(1+'Table G'!$B$18)*IF(ABS(((1+$A120)/(1+'Table G'!$B$18))-1)&lt;0.000000001,10,(1-((1+$A120)/(1+'Table G'!$B$18))^10)/(1-((1+$A120)/(1+'Table G'!$B$18))))+('Table G'!$B$14+'Table G'!$B$15)*(1+$A120)^(10-1)*(1+'Table G'!$B$25)/(('Table G'!$B$18-'Table G'!$B$25)*(1+'Table G'!$B$18)^10),"")</f>
        <v>73191.758497255461</v>
      </c>
      <c r="D120" s="17">
        <f>IFERROR(('Table G'!$B$14+'Table G'!$B$15)/(1+'Table G'!$B$18)*IF(ABS(((1+$A120)/(1+'Table G'!$B$18))-1)&lt;0.000000001,5,(1-((1+$A120)/(1+'Table G'!$B$18))^5)/(1-((1+$A120)/(1+'Table G'!$B$18))))+('Table G'!$B$14+'Table G'!$B$15)*(1+$A120)^(5-1)*(1+'Table G'!$B$26)/(('Table G'!$B$18-'Table G'!$B$26)*(1+'Table G'!$B$18)^5),"")</f>
        <v>76993.786102476428</v>
      </c>
      <c r="E120" s="17">
        <f>IFERROR(('Table G'!$B$14+'Table G'!$B$15)/(1+'Table G'!$B$18)*IF(ABS(((1+$A120)/(1+'Table G'!$B$18))-1)&lt;0.000000001,10,(1-((1+$A120)/(1+'Table G'!$B$18))^10)/(1-((1+$A120)/(1+'Table G'!$B$18))))+('Table G'!$B$14+'Table G'!$B$15)*(1+$A120)^(10-1)*(1+'Table G'!$B$26)/(('Table G'!$B$18-'Table G'!$B$26)*(1+'Table G'!$B$18)^10),"")</f>
        <v>76495.829958726899</v>
      </c>
      <c r="F120" s="17">
        <f>IFERROR(('Table G'!$B$14+'Table G'!$B$15)/(1+'Table G'!$B$18)*IF(ABS(((1+$A120)/(1+'Table G'!$B$18))-1)&lt;0.000000001,5,(1-((1+$A120)/(1+'Table G'!$B$18))^5)/(1-((1+$A120)/(1+'Table G'!$B$18))))+('Table G'!$B$14+'Table G'!$B$15)*(1+$A120)^(5-1)*(1+'Table G'!$B$27)/(('Table G'!$B$18-'Table G'!$B$27)*(1+'Table G'!$B$18)^5),"")</f>
        <v>82269.622329570309</v>
      </c>
      <c r="G120" s="17">
        <f>IFERROR(('Table G'!$B$14+'Table G'!$B$15)/(1+'Table G'!$B$18)*IF(ABS(((1+$A120)/(1+'Table G'!$B$18))-1)&lt;0.000000001,10,(1-((1+$A120)/(1+'Table G'!$B$18))^10)/(1-((1+$A120)/(1+'Table G'!$B$18))))+('Table G'!$B$14+'Table G'!$B$15)*(1+$A120)^(10-1)*(1+'Table G'!$B$27)/(('Table G'!$B$18-'Table G'!$B$27)*(1+'Table G'!$B$18)^10),"")</f>
        <v>80375.077572203474</v>
      </c>
    </row>
    <row r="121" spans="1:7" x14ac:dyDescent="0.2">
      <c r="A121" s="8">
        <f>-0.1+117*$B$2</f>
        <v>1.7000000000000001E-2</v>
      </c>
      <c r="B121" s="17">
        <f>IFERROR(('Table G'!$B$14+'Table G'!$B$15)/(1+'Table G'!$B$18)*IF(ABS(((1+$A121)/(1+'Table G'!$B$18))-1)&lt;0.000000001,5,(1-((1+$A121)/(1+'Table G'!$B$18))^5)/(1-((1+$A121)/(1+'Table G'!$B$18))))+('Table G'!$B$14+'Table G'!$B$15)*(1+$A121)^(5-1)*(1+'Table G'!$B$25)/(('Table G'!$B$18-'Table G'!$B$25)*(1+'Table G'!$B$18)^5),"")</f>
        <v>72744.429485342058</v>
      </c>
      <c r="C121" s="17">
        <f>IFERROR(('Table G'!$B$14+'Table G'!$B$15)/(1+'Table G'!$B$18)*IF(ABS(((1+$A121)/(1+'Table G'!$B$18))-1)&lt;0.000000001,10,(1-((1+$A121)/(1+'Table G'!$B$18))^10)/(1-((1+$A121)/(1+'Table G'!$B$18))))+('Table G'!$B$14+'Table G'!$B$15)*(1+$A121)^(10-1)*(1+'Table G'!$B$25)/(('Table G'!$B$18-'Table G'!$B$25)*(1+'Table G'!$B$18)^10),"")</f>
        <v>73671.857423848589</v>
      </c>
      <c r="D121" s="17">
        <f>IFERROR(('Table G'!$B$14+'Table G'!$B$15)/(1+'Table G'!$B$18)*IF(ABS(((1+$A121)/(1+'Table G'!$B$18))-1)&lt;0.000000001,5,(1-((1+$A121)/(1+'Table G'!$B$18))^5)/(1-((1+$A121)/(1+'Table G'!$B$18))))+('Table G'!$B$14+'Table G'!$B$15)*(1+$A121)^(5-1)*(1+'Table G'!$B$26)/(('Table G'!$B$18-'Table G'!$B$26)*(1+'Table G'!$B$18)^5),"")</f>
        <v>77255.734754572448</v>
      </c>
      <c r="E121" s="17">
        <f>IFERROR(('Table G'!$B$14+'Table G'!$B$15)/(1+'Table G'!$B$18)*IF(ABS(((1+$A121)/(1+'Table G'!$B$18))-1)&lt;0.000000001,10,(1-((1+$A121)/(1+'Table G'!$B$18))^10)/(1-((1+$A121)/(1+'Table G'!$B$18))))+('Table G'!$B$14+'Table G'!$B$15)*(1+$A121)^(10-1)*(1+'Table G'!$B$26)/(('Table G'!$B$18-'Table G'!$B$26)*(1+'Table G'!$B$18)^10),"")</f>
        <v>77005.312729629251</v>
      </c>
      <c r="F121" s="17">
        <f>IFERROR(('Table G'!$B$14+'Table G'!$B$15)/(1+'Table G'!$B$18)*IF(ABS(((1+$A121)/(1+'Table G'!$B$18))-1)&lt;0.000000001,5,(1-((1+$A121)/(1+'Table G'!$B$18))^5)/(1-((1+$A121)/(1+'Table G'!$B$18))))+('Table G'!$B$14+'Table G'!$B$15)*(1+$A121)^(5-1)*(1+'Table G'!$B$27)/(('Table G'!$B$18-'Table G'!$B$27)*(1+'Table G'!$B$18)^5),"")</f>
        <v>82552.372676420739</v>
      </c>
      <c r="G121" s="17">
        <f>IFERROR(('Table G'!$B$14+'Table G'!$B$15)/(1+'Table G'!$B$18)*IF(ABS(((1+$A121)/(1+'Table G'!$B$18))-1)&lt;0.000000001,10,(1-((1+$A121)/(1+'Table G'!$B$18))^10)/(1-((1+$A121)/(1+'Table G'!$B$18))))+('Table G'!$B$14+'Table G'!$B$15)*(1+$A121)^(10-1)*(1+'Table G'!$B$27)/(('Table G'!$B$18-'Table G'!$B$27)*(1+'Table G'!$B$18)^10),"")</f>
        <v>80919.059357198144</v>
      </c>
    </row>
    <row r="122" spans="1:7" x14ac:dyDescent="0.2">
      <c r="A122" s="8">
        <f>-0.1+118*$B$2</f>
        <v>1.8000000000000002E-2</v>
      </c>
      <c r="B122" s="17">
        <f>IFERROR(('Table G'!$B$14+'Table G'!$B$15)/(1+'Table G'!$B$18)*IF(ABS(((1+$A122)/(1+'Table G'!$B$18))-1)&lt;0.000000001,5,(1-((1+$A122)/(1+'Table G'!$B$18))^5)/(1-((1+$A122)/(1+'Table G'!$B$18))))+('Table G'!$B$14+'Table G'!$B$15)*(1+$A122)^(5-1)*(1+'Table G'!$B$25)/(('Table G'!$B$18-'Table G'!$B$25)*(1+'Table G'!$B$18)^5),"")</f>
        <v>72989.34374251026</v>
      </c>
      <c r="C122" s="17">
        <f>IFERROR(('Table G'!$B$14+'Table G'!$B$15)/(1+'Table G'!$B$18)*IF(ABS(((1+$A122)/(1+'Table G'!$B$18))-1)&lt;0.000000001,10,(1-((1+$A122)/(1+'Table G'!$B$18))^10)/(1-((1+$A122)/(1+'Table G'!$B$18))))+('Table G'!$B$14+'Table G'!$B$15)*(1+$A122)^(10-1)*(1+'Table G'!$B$25)/(('Table G'!$B$18-'Table G'!$B$25)*(1+'Table G'!$B$18)^10),"")</f>
        <v>74155.347576758038</v>
      </c>
      <c r="D122" s="17">
        <f>IFERROR(('Table G'!$B$14+'Table G'!$B$15)/(1+'Table G'!$B$18)*IF(ABS(((1+$A122)/(1+'Table G'!$B$18))-1)&lt;0.000000001,5,(1-((1+$A122)/(1+'Table G'!$B$18))^5)/(1-((1+$A122)/(1+'Table G'!$B$18))))+('Table G'!$B$14+'Table G'!$B$15)*(1+$A122)^(5-1)*(1+'Table G'!$B$26)/(('Table G'!$B$18-'Table G'!$B$26)*(1+'Table G'!$B$18)^5),"")</f>
        <v>77518.418779585802</v>
      </c>
      <c r="E122" s="17">
        <f>IFERROR(('Table G'!$B$14+'Table G'!$B$15)/(1+'Table G'!$B$18)*IF(ABS(((1+$A122)/(1+'Table G'!$B$18))-1)&lt;0.000000001,10,(1-((1+$A122)/(1+'Table G'!$B$18))^10)/(1-((1+$A122)/(1+'Table G'!$B$18))))+('Table G'!$B$14+'Table G'!$B$15)*(1+$A122)^(10-1)*(1+'Table G'!$B$26)/(('Table G'!$B$18-'Table G'!$B$26)*(1+'Table G'!$B$18)^10),"")</f>
        <v>77518.418779585816</v>
      </c>
      <c r="F122" s="17">
        <f>IFERROR(('Table G'!$B$14+'Table G'!$B$15)/(1+'Table G'!$B$18)*IF(ABS(((1+$A122)/(1+'Table G'!$B$18))-1)&lt;0.000000001,5,(1-((1+$A122)/(1+'Table G'!$B$18))^5)/(1-((1+$A122)/(1+'Table G'!$B$18))))+('Table G'!$B$14+'Table G'!$B$15)*(1+$A122)^(5-1)*(1+'Table G'!$B$27)/(('Table G'!$B$18-'Table G'!$B$27)*(1+'Table G'!$B$18)^5),"")</f>
        <v>82835.919848708334</v>
      </c>
      <c r="G122" s="17">
        <f>IFERROR(('Table G'!$B$14+'Table G'!$B$15)/(1+'Table G'!$B$18)*IF(ABS(((1+$A122)/(1+'Table G'!$B$18))-1)&lt;0.000000001,10,(1-((1+$A122)/(1+'Table G'!$B$18))^10)/(1-((1+$A122)/(1+'Table G'!$B$18))))+('Table G'!$B$14+'Table G'!$B$15)*(1+$A122)^(10-1)*(1+'Table G'!$B$27)/(('Table G'!$B$18-'Table G'!$B$27)*(1+'Table G'!$B$18)^10),"")</f>
        <v>81466.936869963742</v>
      </c>
    </row>
    <row r="123" spans="1:7" x14ac:dyDescent="0.2">
      <c r="A123" s="8">
        <f>-0.1+119*$B$2</f>
        <v>1.9000000000000003E-2</v>
      </c>
      <c r="B123" s="17">
        <f>IFERROR(('Table G'!$B$14+'Table G'!$B$15)/(1+'Table G'!$B$18)*IF(ABS(((1+$A123)/(1+'Table G'!$B$18))-1)&lt;0.000000001,5,(1-((1+$A123)/(1+'Table G'!$B$18))^5)/(1-((1+$A123)/(1+'Table G'!$B$18))))+('Table G'!$B$14+'Table G'!$B$15)*(1+$A123)^(5-1)*(1+'Table G'!$B$25)/(('Table G'!$B$18-'Table G'!$B$25)*(1+'Table G'!$B$18)^5),"")</f>
        <v>73234.942339095753</v>
      </c>
      <c r="C123" s="17">
        <f>IFERROR(('Table G'!$B$14+'Table G'!$B$15)/(1+'Table G'!$B$18)*IF(ABS(((1+$A123)/(1+'Table G'!$B$18))-1)&lt;0.000000001,10,(1-((1+$A123)/(1+'Table G'!$B$18))^10)/(1-((1+$A123)/(1+'Table G'!$B$18))))+('Table G'!$B$14+'Table G'!$B$15)*(1+$A123)^(10-1)*(1+'Table G'!$B$25)/(('Table G'!$B$18-'Table G'!$B$25)*(1+'Table G'!$B$18)^10),"")</f>
        <v>74642.25107981803</v>
      </c>
      <c r="D123" s="17">
        <f>IFERROR(('Table G'!$B$14+'Table G'!$B$15)/(1+'Table G'!$B$18)*IF(ABS(((1+$A123)/(1+'Table G'!$B$18))-1)&lt;0.000000001,5,(1-((1+$A123)/(1+'Table G'!$B$18))^5)/(1-((1+$A123)/(1+'Table G'!$B$18))))+('Table G'!$B$14+'Table G'!$B$15)*(1+$A123)^(5-1)*(1+'Table G'!$B$26)/(('Table G'!$B$18-'Table G'!$B$26)*(1+'Table G'!$B$18)^5),"")</f>
        <v>77781.839587952127</v>
      </c>
      <c r="E123" s="17">
        <f>IFERROR(('Table G'!$B$14+'Table G'!$B$15)/(1+'Table G'!$B$18)*IF(ABS(((1+$A123)/(1+'Table G'!$B$18))-1)&lt;0.000000001,10,(1-((1+$A123)/(1+'Table G'!$B$18))^10)/(1-((1+$A123)/(1+'Table G'!$B$18))))+('Table G'!$B$14+'Table G'!$B$15)*(1+$A123)^(10-1)*(1+'Table G'!$B$26)/(('Table G'!$B$18-'Table G'!$B$26)*(1+'Table G'!$B$18)^10),"")</f>
        <v>78035.171834364999</v>
      </c>
      <c r="F123" s="17">
        <f>IFERROR(('Table G'!$B$14+'Table G'!$B$15)/(1+'Table G'!$B$18)*IF(ABS(((1+$A123)/(1+'Table G'!$B$18))-1)&lt;0.000000001,5,(1-((1+$A123)/(1+'Table G'!$B$18))^5)/(1-((1+$A123)/(1+'Table G'!$B$18))))+('Table G'!$B$14+'Table G'!$B$15)*(1+$A123)^(5-1)*(1+'Table G'!$B$27)/(('Table G'!$B$18-'Table G'!$B$27)*(1+'Table G'!$B$18)^5),"")</f>
        <v>83120.26537777872</v>
      </c>
      <c r="G123" s="17">
        <f>IFERROR(('Table G'!$B$14+'Table G'!$B$15)/(1+'Table G'!$B$18)*IF(ABS(((1+$A123)/(1+'Table G'!$B$18))-1)&lt;0.000000001,10,(1-((1+$A123)/(1+'Table G'!$B$18))^10)/(1-((1+$A123)/(1+'Table G'!$B$18))))+('Table G'!$B$14+'Table G'!$B$15)*(1+$A123)^(10-1)*(1+'Table G'!$B$27)/(('Table G'!$B$18-'Table G'!$B$27)*(1+'Table G'!$B$18)^10),"")</f>
        <v>82018.735717069241</v>
      </c>
    </row>
    <row r="124" spans="1:7" x14ac:dyDescent="0.2">
      <c r="A124" s="8">
        <f>-0.1+120*$B$2</f>
        <v>1.999999999999999E-2</v>
      </c>
      <c r="B124" s="17">
        <f>IFERROR(('Table G'!$B$14+'Table G'!$B$15)/(1+'Table G'!$B$18)*IF(ABS(((1+$A124)/(1+'Table G'!$B$18))-1)&lt;0.000000001,5,(1-((1+$A124)/(1+'Table G'!$B$18))^5)/(1-((1+$A124)/(1+'Table G'!$B$18))))+('Table G'!$B$14+'Table G'!$B$15)*(1+$A124)^(5-1)*(1+'Table G'!$B$25)/(('Table G'!$B$18-'Table G'!$B$25)*(1+'Table G'!$B$18)^5),"")</f>
        <v>73481.226583815762</v>
      </c>
      <c r="C124" s="17">
        <f>IFERROR(('Table G'!$B$14+'Table G'!$B$15)/(1+'Table G'!$B$18)*IF(ABS(((1+$A124)/(1+'Table G'!$B$18))-1)&lt;0.000000001,10,(1-((1+$A124)/(1+'Table G'!$B$18))^10)/(1-((1+$A124)/(1+'Table G'!$B$18))))+('Table G'!$B$14+'Table G'!$B$15)*(1+$A124)^(10-1)*(1+'Table G'!$B$25)/(('Table G'!$B$18-'Table G'!$B$25)*(1+'Table G'!$B$18)^10),"")</f>
        <v>75132.590183291293</v>
      </c>
      <c r="D124" s="17">
        <f>IFERROR(('Table G'!$B$14+'Table G'!$B$15)/(1+'Table G'!$B$18)*IF(ABS(((1+$A124)/(1+'Table G'!$B$18))-1)&lt;0.000000001,5,(1-((1+$A124)/(1+'Table G'!$B$18))^5)/(1-((1+$A124)/(1+'Table G'!$B$18))))+('Table G'!$B$14+'Table G'!$B$15)*(1+$A124)^(5-1)*(1+'Table G'!$B$26)/(('Table G'!$B$18-'Table G'!$B$26)*(1+'Table G'!$B$18)^5),"")</f>
        <v>78045.998591472453</v>
      </c>
      <c r="E124" s="17">
        <f>IFERROR(('Table G'!$B$14+'Table G'!$B$15)/(1+'Table G'!$B$18)*IF(ABS(((1+$A124)/(1+'Table G'!$B$18))-1)&lt;0.000000001,10,(1-((1+$A124)/(1+'Table G'!$B$18))^10)/(1-((1+$A124)/(1+'Table G'!$B$18))))+('Table G'!$B$14+'Table G'!$B$15)*(1+$A124)^(10-1)*(1+'Table G'!$B$26)/(('Table G'!$B$18-'Table G'!$B$26)*(1+'Table G'!$B$18)^10),"")</f>
        <v>78555.595755633287</v>
      </c>
      <c r="F124" s="17">
        <f>IFERROR(('Table G'!$B$14+'Table G'!$B$15)/(1+'Table G'!$B$18)*IF(ABS(((1+$A124)/(1+'Table G'!$B$18))-1)&lt;0.000000001,5,(1-((1+$A124)/(1+'Table G'!$B$18))^5)/(1-((1+$A124)/(1+'Table G'!$B$18))))+('Table G'!$B$14+'Table G'!$B$15)*(1+$A124)^(5-1)*(1+'Table G'!$B$27)/(('Table G'!$B$18-'Table G'!$B$27)*(1+'Table G'!$B$18)^5),"")</f>
        <v>83405.410796461758</v>
      </c>
      <c r="G124" s="17">
        <f>IFERROR(('Table G'!$B$14+'Table G'!$B$15)/(1+'Table G'!$B$18)*IF(ABS(((1+$A124)/(1+'Table G'!$B$18))-1)&lt;0.000000001,10,(1-((1+$A124)/(1+'Table G'!$B$18))^10)/(1-((1+$A124)/(1+'Table G'!$B$18))))+('Table G'!$B$14+'Table G'!$B$15)*(1+$A124)^(10-1)*(1+'Table G'!$B$27)/(('Table G'!$B$18-'Table G'!$B$27)*(1+'Table G'!$B$18)^10),"")</f>
        <v>82574.481652099639</v>
      </c>
    </row>
    <row r="125" spans="1:7" x14ac:dyDescent="0.2">
      <c r="A125" s="8">
        <f>-0.1+121*$B$2</f>
        <v>2.0999999999999991E-2</v>
      </c>
      <c r="B125" s="17">
        <f>IFERROR(('Table G'!$B$14+'Table G'!$B$15)/(1+'Table G'!$B$18)*IF(ABS(((1+$A125)/(1+'Table G'!$B$18))-1)&lt;0.000000001,5,(1-((1+$A125)/(1+'Table G'!$B$18))^5)/(1-((1+$A125)/(1+'Table G'!$B$18))))+('Table G'!$B$14+'Table G'!$B$15)*(1+$A125)^(5-1)*(1+'Table G'!$B$25)/(('Table G'!$B$18-'Table G'!$B$25)*(1+'Table G'!$B$18)^5),"")</f>
        <v>73728.197786651348</v>
      </c>
      <c r="C125" s="17">
        <f>IFERROR(('Table G'!$B$14+'Table G'!$B$15)/(1+'Table G'!$B$18)*IF(ABS(((1+$A125)/(1+'Table G'!$B$18))-1)&lt;0.000000001,10,(1-((1+$A125)/(1+'Table G'!$B$18))^10)/(1-((1+$A125)/(1+'Table G'!$B$18))))+('Table G'!$B$14+'Table G'!$B$15)*(1+$A125)^(10-1)*(1+'Table G'!$B$25)/(('Table G'!$B$18-'Table G'!$B$25)*(1+'Table G'!$B$18)^10),"")</f>
        <v>75626.387264476696</v>
      </c>
      <c r="D125" s="17">
        <f>IFERROR(('Table G'!$B$14+'Table G'!$B$15)/(1+'Table G'!$B$18)*IF(ABS(((1+$A125)/(1+'Table G'!$B$18))-1)&lt;0.000000001,5,(1-((1+$A125)/(1+'Table G'!$B$18))^5)/(1-((1+$A125)/(1+'Table G'!$B$18))))+('Table G'!$B$14+'Table G'!$B$15)*(1+$A125)^(5-1)*(1+'Table G'!$B$26)/(('Table G'!$B$18-'Table G'!$B$26)*(1+'Table G'!$B$18)^5),"")</f>
        <v>78310.897203312983</v>
      </c>
      <c r="E125" s="17">
        <f>IFERROR(('Table G'!$B$14+'Table G'!$B$15)/(1+'Table G'!$B$18)*IF(ABS(((1+$A125)/(1+'Table G'!$B$18))-1)&lt;0.000000001,10,(1-((1+$A125)/(1+'Table G'!$B$18))^10)/(1-((1+$A125)/(1+'Table G'!$B$18))))+('Table G'!$B$14+'Table G'!$B$15)*(1+$A125)^(10-1)*(1+'Table G'!$B$26)/(('Table G'!$B$18-'Table G'!$B$26)*(1+'Table G'!$B$18)^10),"")</f>
        <v>79079.714541609355</v>
      </c>
      <c r="F125" s="17">
        <f>IFERROR(('Table G'!$B$14+'Table G'!$B$15)/(1+'Table G'!$B$18)*IF(ABS(((1+$A125)/(1+'Table G'!$B$18))-1)&lt;0.000000001,5,(1-((1+$A125)/(1+'Table G'!$B$18))^5)/(1-((1+$A125)/(1+'Table G'!$B$18))))+('Table G'!$B$14+'Table G'!$B$15)*(1+$A125)^(5-1)*(1+'Table G'!$B$27)/(('Table G'!$B$18-'Table G'!$B$27)*(1+'Table G'!$B$18)^5),"")</f>
        <v>83691.357639071255</v>
      </c>
      <c r="G125" s="17">
        <f>IFERROR(('Table G'!$B$14+'Table G'!$B$15)/(1+'Table G'!$B$18)*IF(ABS(((1+$A125)/(1+'Table G'!$B$18))-1)&lt;0.000000001,10,(1-((1+$A125)/(1+'Table G'!$B$18))^10)/(1-((1+$A125)/(1+'Table G'!$B$18))))+('Table G'!$B$14+'Table G'!$B$15)*(1+$A125)^(10-1)*(1+'Table G'!$B$27)/(('Table G'!$B$18-'Table G'!$B$27)*(1+'Table G'!$B$18)^10),"")</f>
        <v>83134.200576364936</v>
      </c>
    </row>
    <row r="126" spans="1:7" x14ac:dyDescent="0.2">
      <c r="A126" s="8">
        <f>-0.1+122*$B$2</f>
        <v>2.1999999999999992E-2</v>
      </c>
      <c r="B126" s="17">
        <f>IFERROR(('Table G'!$B$14+'Table G'!$B$15)/(1+'Table G'!$B$18)*IF(ABS(((1+$A126)/(1+'Table G'!$B$18))-1)&lt;0.000000001,5,(1-((1+$A126)/(1+'Table G'!$B$18))^5)/(1-((1+$A126)/(1+'Table G'!$B$18))))+('Table G'!$B$14+'Table G'!$B$15)*(1+$A126)^(5-1)*(1+'Table G'!$B$25)/(('Table G'!$B$18-'Table G'!$B$25)*(1+'Table G'!$B$18)^5),"")</f>
        <v>73975.857258847798</v>
      </c>
      <c r="C126" s="17">
        <f>IFERROR(('Table G'!$B$14+'Table G'!$B$15)/(1+'Table G'!$B$18)*IF(ABS(((1+$A126)/(1+'Table G'!$B$18))-1)&lt;0.000000001,10,(1-((1+$A126)/(1+'Table G'!$B$18))^10)/(1-((1+$A126)/(1+'Table G'!$B$18))))+('Table G'!$B$14+'Table G'!$B$15)*(1+$A126)^(10-1)*(1+'Table G'!$B$25)/(('Table G'!$B$18-'Table G'!$B$25)*(1+'Table G'!$B$18)^10),"")</f>
        <v>76123.664828320761</v>
      </c>
      <c r="D126" s="17">
        <f>IFERROR(('Table G'!$B$14+'Table G'!$B$15)/(1+'Table G'!$B$18)*IF(ABS(((1+$A126)/(1+'Table G'!$B$18))-1)&lt;0.000000001,5,(1-((1+$A126)/(1+'Table G'!$B$18))^5)/(1-((1+$A126)/(1+'Table G'!$B$18))))+('Table G'!$B$14+'Table G'!$B$15)*(1+$A126)^(5-1)*(1+'Table G'!$B$26)/(('Table G'!$B$18-'Table G'!$B$26)*(1+'Table G'!$B$18)^5),"")</f>
        <v>78576.536838005268</v>
      </c>
      <c r="E126" s="17">
        <f>IFERROR(('Table G'!$B$14+'Table G'!$B$15)/(1+'Table G'!$B$18)*IF(ABS(((1+$A126)/(1+'Table G'!$B$18))-1)&lt;0.000000001,10,(1-((1+$A126)/(1+'Table G'!$B$18))^10)/(1-((1+$A126)/(1+'Table G'!$B$18))))+('Table G'!$B$14+'Table G'!$B$15)*(1+$A126)^(10-1)*(1+'Table G'!$B$26)/(('Table G'!$B$18-'Table G'!$B$26)*(1+'Table G'!$B$18)^10),"")</f>
        <v>79607.552327722573</v>
      </c>
      <c r="F126" s="17">
        <f>IFERROR(('Table G'!$B$14+'Table G'!$B$15)/(1+'Table G'!$B$18)*IF(ABS(((1+$A126)/(1+'Table G'!$B$18))-1)&lt;0.000000001,5,(1-((1+$A126)/(1+'Table G'!$B$18))^5)/(1-((1+$A126)/(1+'Table G'!$B$18))))+('Table G'!$B$14+'Table G'!$B$15)*(1+$A126)^(5-1)*(1+'Table G'!$B$27)/(('Table G'!$B$18-'Table G'!$B$27)*(1+'Table G'!$B$18)^5),"")</f>
        <v>83978.107441405242</v>
      </c>
      <c r="G126" s="17">
        <f>IFERROR(('Table G'!$B$14+'Table G'!$B$15)/(1+'Table G'!$B$18)*IF(ABS(((1+$A126)/(1+'Table G'!$B$18))-1)&lt;0.000000001,10,(1-((1+$A126)/(1+'Table G'!$B$18))^10)/(1-((1+$A126)/(1+'Table G'!$B$18))))+('Table G'!$B$14+'Table G'!$B$15)*(1+$A126)^(10-1)*(1+'Table G'!$B$27)/(('Table G'!$B$18-'Table G'!$B$27)*(1+'Table G'!$B$18)^10),"")</f>
        <v>83697.918539613354</v>
      </c>
    </row>
    <row r="127" spans="1:7" x14ac:dyDescent="0.2">
      <c r="A127" s="8">
        <f>-0.1+123*$B$2</f>
        <v>2.2999999999999993E-2</v>
      </c>
      <c r="B127" s="17">
        <f>IFERROR(('Table G'!$B$14+'Table G'!$B$15)/(1+'Table G'!$B$18)*IF(ABS(((1+$A127)/(1+'Table G'!$B$18))-1)&lt;0.000000001,5,(1-((1+$A127)/(1+'Table G'!$B$18))^5)/(1-((1+$A127)/(1+'Table G'!$B$18))))+('Table G'!$B$14+'Table G'!$B$15)*(1+$A127)^(5-1)*(1+'Table G'!$B$25)/(('Table G'!$B$18-'Table G'!$B$25)*(1+'Table G'!$B$18)^5),"")</f>
        <v>74224.20631291419</v>
      </c>
      <c r="C127" s="17">
        <f>IFERROR(('Table G'!$B$14+'Table G'!$B$15)/(1+'Table G'!$B$18)*IF(ABS(((1+$A127)/(1+'Table G'!$B$18))-1)&lt;0.000000001,10,(1-((1+$A127)/(1+'Table G'!$B$18))^10)/(1-((1+$A127)/(1+'Table G'!$B$18))))+('Table G'!$B$14+'Table G'!$B$15)*(1+$A127)^(10-1)*(1+'Table G'!$B$25)/(('Table G'!$B$18-'Table G'!$B$25)*(1+'Table G'!$B$18)^10),"")</f>
        <v>76624.445508029865</v>
      </c>
      <c r="D127" s="17">
        <f>IFERROR(('Table G'!$B$14+'Table G'!$B$15)/(1+'Table G'!$B$18)*IF(ABS(((1+$A127)/(1+'Table G'!$B$18))-1)&lt;0.000000001,5,(1-((1+$A127)/(1+'Table G'!$B$18))^5)/(1-((1+$A127)/(1+'Table G'!$B$18))))+('Table G'!$B$14+'Table G'!$B$15)*(1+$A127)^(5-1)*(1+'Table G'!$B$26)/(('Table G'!$B$18-'Table G'!$B$26)*(1+'Table G'!$B$18)^5),"")</f>
        <v>78842.918911445857</v>
      </c>
      <c r="E127" s="17">
        <f>IFERROR(('Table G'!$B$14+'Table G'!$B$15)/(1+'Table G'!$B$18)*IF(ABS(((1+$A127)/(1+'Table G'!$B$18))-1)&lt;0.000000001,10,(1-((1+$A127)/(1+'Table G'!$B$18))^10)/(1-((1+$A127)/(1+'Table G'!$B$18))))+('Table G'!$B$14+'Table G'!$B$15)*(1+$A127)^(10-1)*(1+'Table G'!$B$26)/(('Table G'!$B$18-'Table G'!$B$26)*(1+'Table G'!$B$18)^10),"")</f>
        <v>80139.133387271955</v>
      </c>
      <c r="F127" s="17">
        <f>IFERROR(('Table G'!$B$14+'Table G'!$B$15)/(1+'Table G'!$B$18)*IF(ABS(((1+$A127)/(1+'Table G'!$B$18))-1)&lt;0.000000001,5,(1-((1+$A127)/(1+'Table G'!$B$18))^5)/(1-((1+$A127)/(1+'Table G'!$B$18))))+('Table G'!$B$14+'Table G'!$B$15)*(1+$A127)^(5-1)*(1+'Table G'!$B$27)/(('Table G'!$B$18-'Table G'!$B$27)*(1+'Table G'!$B$18)^5),"")</f>
        <v>84265.661740745578</v>
      </c>
      <c r="G127" s="17">
        <f>IFERROR(('Table G'!$B$14+'Table G'!$B$15)/(1+'Table G'!$B$18)*IF(ABS(((1+$A127)/(1+'Table G'!$B$18))-1)&lt;0.000000001,10,(1-((1+$A127)/(1+'Table G'!$B$18))^10)/(1-((1+$A127)/(1+'Table G'!$B$18))))+('Table G'!$B$14+'Table G'!$B$15)*(1+$A127)^(10-1)*(1+'Table G'!$B$27)/(('Table G'!$B$18-'Table G'!$B$27)*(1+'Table G'!$B$18)^10),"")</f>
        <v>84265.661740745549</v>
      </c>
    </row>
    <row r="128" spans="1:7" x14ac:dyDescent="0.2">
      <c r="A128" s="8">
        <f>-0.1+124*$B$2</f>
        <v>2.3999999999999994E-2</v>
      </c>
      <c r="B128" s="17">
        <f>IFERROR(('Table G'!$B$14+'Table G'!$B$15)/(1+'Table G'!$B$18)*IF(ABS(((1+$A128)/(1+'Table G'!$B$18))-1)&lt;0.000000001,5,(1-((1+$A128)/(1+'Table G'!$B$18))^5)/(1-((1+$A128)/(1+'Table G'!$B$18))))+('Table G'!$B$14+'Table G'!$B$15)*(1+$A128)^(5-1)*(1+'Table G'!$B$25)/(('Table G'!$B$18-'Table G'!$B$25)*(1+'Table G'!$B$18)^5),"")</f>
        <v>74473.246262623827</v>
      </c>
      <c r="C128" s="17">
        <f>IFERROR(('Table G'!$B$14+'Table G'!$B$15)/(1+'Table G'!$B$18)*IF(ABS(((1+$A128)/(1+'Table G'!$B$18))-1)&lt;0.000000001,10,(1-((1+$A128)/(1+'Table G'!$B$18))^10)/(1-((1+$A128)/(1+'Table G'!$B$18))))+('Table G'!$B$14+'Table G'!$B$15)*(1+$A128)^(10-1)*(1+'Table G'!$B$25)/(('Table G'!$B$18-'Table G'!$B$25)*(1+'Table G'!$B$18)^10),"")</f>
        <v>77128.752065686684</v>
      </c>
      <c r="D128" s="17">
        <f>IFERROR(('Table G'!$B$14+'Table G'!$B$15)/(1+'Table G'!$B$18)*IF(ABS(((1+$A128)/(1+'Table G'!$B$18))-1)&lt;0.000000001,5,(1-((1+$A128)/(1+'Table G'!$B$18))^5)/(1-((1+$A128)/(1+'Table G'!$B$18))))+('Table G'!$B$14+'Table G'!$B$15)*(1+$A128)^(5-1)*(1+'Table G'!$B$26)/(('Table G'!$B$18-'Table G'!$B$26)*(1+'Table G'!$B$18)^5),"")</f>
        <v>79110.044840896793</v>
      </c>
      <c r="E128" s="17">
        <f>IFERROR(('Table G'!$B$14+'Table G'!$B$15)/(1+'Table G'!$B$18)*IF(ABS(((1+$A128)/(1+'Table G'!$B$18))-1)&lt;0.000000001,10,(1-((1+$A128)/(1+'Table G'!$B$18))^10)/(1-((1+$A128)/(1+'Table G'!$B$18))))+('Table G'!$B$14+'Table G'!$B$15)*(1+$A128)^(10-1)*(1+'Table G'!$B$26)/(('Table G'!$B$18-'Table G'!$B$26)*(1+'Table G'!$B$18)^10),"")</f>
        <v>80674.482132089848</v>
      </c>
      <c r="F128" s="17">
        <f>IFERROR(('Table G'!$B$14+'Table G'!$B$15)/(1+'Table G'!$B$18)*IF(ABS(((1+$A128)/(1+'Table G'!$B$18))-1)&lt;0.000000001,5,(1-((1+$A128)/(1+'Table G'!$B$18))^5)/(1-((1+$A128)/(1+'Table G'!$B$18))))+('Table G'!$B$14+'Table G'!$B$15)*(1+$A128)^(5-1)*(1+'Table G'!$B$27)/(('Table G'!$B$18-'Table G'!$B$27)*(1+'Table G'!$B$18)^5),"")</f>
        <v>84554.022075858433</v>
      </c>
      <c r="G128" s="17">
        <f>IFERROR(('Table G'!$B$14+'Table G'!$B$15)/(1+'Table G'!$B$18)*IF(ABS(((1+$A128)/(1+'Table G'!$B$18))-1)&lt;0.000000001,10,(1-((1+$A128)/(1+'Table G'!$B$18))^10)/(1-((1+$A128)/(1+'Table G'!$B$18))))+('Table G'!$B$14+'Table G'!$B$15)*(1+$A128)^(10-1)*(1+'Table G'!$B$27)/(('Table G'!$B$18-'Table G'!$B$27)*(1+'Table G'!$B$18)^10),"")</f>
        <v>84837.456528533716</v>
      </c>
    </row>
    <row r="129" spans="1:7" x14ac:dyDescent="0.2">
      <c r="A129" s="8">
        <f>-0.1+125*$B$2</f>
        <v>2.4999999999999994E-2</v>
      </c>
      <c r="B129" s="17">
        <f>IFERROR(('Table G'!$B$14+'Table G'!$B$15)/(1+'Table G'!$B$18)*IF(ABS(((1+$A129)/(1+'Table G'!$B$18))-1)&lt;0.000000001,5,(1-((1+$A129)/(1+'Table G'!$B$18))^5)/(1-((1+$A129)/(1+'Table G'!$B$18))))+('Table G'!$B$14+'Table G'!$B$15)*(1+$A129)^(5-1)*(1+'Table G'!$B$25)/(('Table G'!$B$18-'Table G'!$B$25)*(1+'Table G'!$B$18)^5),"")</f>
        <v>74722.978423013905</v>
      </c>
      <c r="C129" s="17">
        <f>IFERROR(('Table G'!$B$14+'Table G'!$B$15)/(1+'Table G'!$B$18)*IF(ABS(((1+$A129)/(1+'Table G'!$B$18))-1)&lt;0.000000001,10,(1-((1+$A129)/(1+'Table G'!$B$18))^10)/(1-((1+$A129)/(1+'Table G'!$B$18))))+('Table G'!$B$14+'Table G'!$B$15)*(1+$A129)^(10-1)*(1+'Table G'!$B$25)/(('Table G'!$B$18-'Table G'!$B$25)*(1+'Table G'!$B$18)^10),"")</f>
        <v>77636.607392867183</v>
      </c>
      <c r="D129" s="17">
        <f>IFERROR(('Table G'!$B$14+'Table G'!$B$15)/(1+'Table G'!$B$18)*IF(ABS(((1+$A129)/(1+'Table G'!$B$18))-1)&lt;0.000000001,5,(1-((1+$A129)/(1+'Table G'!$B$18))^5)/(1-((1+$A129)/(1+'Table G'!$B$18))))+('Table G'!$B$14+'Table G'!$B$15)*(1+$A129)^(5-1)*(1+'Table G'!$B$26)/(('Table G'!$B$18-'Table G'!$B$26)*(1+'Table G'!$B$18)^5),"")</f>
        <v>79377.916044985177</v>
      </c>
      <c r="E129" s="17">
        <f>IFERROR(('Table G'!$B$14+'Table G'!$B$15)/(1+'Table G'!$B$18)*IF(ABS(((1+$A129)/(1+'Table G'!$B$18))-1)&lt;0.000000001,10,(1-((1+$A129)/(1+'Table G'!$B$18))^10)/(1-((1+$A129)/(1+'Table G'!$B$18))))+('Table G'!$B$14+'Table G'!$B$15)*(1+$A129)^(10-1)*(1+'Table G'!$B$26)/(('Table G'!$B$18-'Table G'!$B$26)*(1+'Table G'!$B$18)^10),"")</f>
        <v>81213.623113206238</v>
      </c>
      <c r="F129" s="17">
        <f>IFERROR(('Table G'!$B$14+'Table G'!$B$15)/(1+'Table G'!$B$18)*IF(ABS(((1+$A129)/(1+'Table G'!$B$18))-1)&lt;0.000000001,5,(1-((1+$A129)/(1+'Table G'!$B$18))^5)/(1-((1+$A129)/(1+'Table G'!$B$18))))+('Table G'!$B$14+'Table G'!$B$15)*(1+$A129)^(5-1)*(1+'Table G'!$B$27)/(('Table G'!$B$18-'Table G'!$B$27)*(1+'Table G'!$B$18)^5),"")</f>
        <v>84843.18998699385</v>
      </c>
      <c r="G129" s="17">
        <f>IFERROR(('Table G'!$B$14+'Table G'!$B$15)/(1+'Table G'!$B$18)*IF(ABS(((1+$A129)/(1+'Table G'!$B$18))-1)&lt;0.000000001,10,(1-((1+$A129)/(1+'Table G'!$B$18))^10)/(1-((1+$A129)/(1+'Table G'!$B$18))))+('Table G'!$B$14+'Table G'!$B$15)*(1+$A129)^(10-1)*(1+'Table G'!$B$27)/(('Table G'!$B$18-'Table G'!$B$27)*(1+'Table G'!$B$18)^10),"")</f>
        <v>85413.329402341376</v>
      </c>
    </row>
    <row r="130" spans="1:7" x14ac:dyDescent="0.2">
      <c r="A130" s="8">
        <f>-0.1+126*$B$2</f>
        <v>2.5999999999999995E-2</v>
      </c>
      <c r="B130" s="17">
        <f>IFERROR(('Table G'!$B$14+'Table G'!$B$15)/(1+'Table G'!$B$18)*IF(ABS(((1+$A130)/(1+'Table G'!$B$18))-1)&lt;0.000000001,5,(1-((1+$A130)/(1+'Table G'!$B$18))^5)/(1-((1+$A130)/(1+'Table G'!$B$18))))+('Table G'!$B$14+'Table G'!$B$15)*(1+$A130)^(5-1)*(1+'Table G'!$B$25)/(('Table G'!$B$18-'Table G'!$B$25)*(1+'Table G'!$B$18)^5),"")</f>
        <v>74973.404110385702</v>
      </c>
      <c r="C130" s="17">
        <f>IFERROR(('Table G'!$B$14+'Table G'!$B$15)/(1+'Table G'!$B$18)*IF(ABS(((1+$A130)/(1+'Table G'!$B$18))-1)&lt;0.000000001,10,(1-((1+$A130)/(1+'Table G'!$B$18))^10)/(1-((1+$A130)/(1+'Table G'!$B$18))))+('Table G'!$B$14+'Table G'!$B$15)*(1+$A130)^(10-1)*(1+'Table G'!$B$25)/(('Table G'!$B$18-'Table G'!$B$25)*(1+'Table G'!$B$18)^10),"")</f>
        <v>78148.034511261387</v>
      </c>
      <c r="D130" s="17">
        <f>IFERROR(('Table G'!$B$14+'Table G'!$B$15)/(1+'Table G'!$B$18)*IF(ABS(((1+$A130)/(1+'Table G'!$B$18))-1)&lt;0.000000001,5,(1-((1+$A130)/(1+'Table G'!$B$18))^5)/(1-((1+$A130)/(1+'Table G'!$B$18))))+('Table G'!$B$14+'Table G'!$B$15)*(1+$A130)^(5-1)*(1+'Table G'!$B$26)/(('Table G'!$B$18-'Table G'!$B$26)*(1+'Table G'!$B$18)^5),"")</f>
        <v>79646.533943703413</v>
      </c>
      <c r="E130" s="17">
        <f>IFERROR(('Table G'!$B$14+'Table G'!$B$15)/(1+'Table G'!$B$18)*IF(ABS(((1+$A130)/(1+'Table G'!$B$18))-1)&lt;0.000000001,10,(1-((1+$A130)/(1+'Table G'!$B$18))^10)/(1-((1+$A130)/(1+'Table G'!$B$18))))+('Table G'!$B$14+'Table G'!$B$15)*(1+$A130)^(10-1)*(1+'Table G'!$B$26)/(('Table G'!$B$18-'Table G'!$B$26)*(1+'Table G'!$B$18)^10),"")</f>
        <v>81756.581021517195</v>
      </c>
      <c r="F130" s="17">
        <f>IFERROR(('Table G'!$B$14+'Table G'!$B$15)/(1+'Table G'!$B$18)*IF(ABS(((1+$A130)/(1+'Table G'!$B$18))-1)&lt;0.000000001,5,(1-((1+$A130)/(1+'Table G'!$B$18))^5)/(1-((1+$A130)/(1+'Table G'!$B$18))))+('Table G'!$B$14+'Table G'!$B$15)*(1+$A130)^(5-1)*(1+'Table G'!$B$27)/(('Table G'!$B$18-'Table G'!$B$27)*(1+'Table G'!$B$18)^5),"")</f>
        <v>85133.167015885992</v>
      </c>
      <c r="G130" s="17">
        <f>IFERROR(('Table G'!$B$14+'Table G'!$B$15)/(1+'Table G'!$B$18)*IF(ABS(((1+$A130)/(1+'Table G'!$B$18))-1)&lt;0.000000001,10,(1-((1+$A130)/(1+'Table G'!$B$18))^10)/(1-((1+$A130)/(1+'Table G'!$B$18))))+('Table G'!$B$14+'Table G'!$B$15)*(1+$A130)^(10-1)*(1+'Table G'!$B$27)/(('Table G'!$B$18-'Table G'!$B$27)*(1+'Table G'!$B$18)^10),"")</f>
        <v>85993.307012847567</v>
      </c>
    </row>
    <row r="131" spans="1:7" x14ac:dyDescent="0.2">
      <c r="A131" s="8">
        <f>-0.1+127*$B$2</f>
        <v>2.6999999999999996E-2</v>
      </c>
      <c r="B131" s="17">
        <f>IFERROR(('Table G'!$B$14+'Table G'!$B$15)/(1+'Table G'!$B$18)*IF(ABS(((1+$A131)/(1+'Table G'!$B$18))-1)&lt;0.000000001,5,(1-((1+$A131)/(1+'Table G'!$B$18))^5)/(1-((1+$A131)/(1+'Table G'!$B$18))))+('Table G'!$B$14+'Table G'!$B$15)*(1+$A131)^(5-1)*(1+'Table G'!$B$25)/(('Table G'!$B$18-'Table G'!$B$25)*(1+'Table G'!$B$18)^5),"")</f>
        <v>75224.524642304415</v>
      </c>
      <c r="C131" s="17">
        <f>IFERROR(('Table G'!$B$14+'Table G'!$B$15)/(1+'Table G'!$B$18)*IF(ABS(((1+$A131)/(1+'Table G'!$B$18))-1)&lt;0.000000001,10,(1-((1+$A131)/(1+'Table G'!$B$18))^10)/(1-((1+$A131)/(1+'Table G'!$B$18))))+('Table G'!$B$14+'Table G'!$B$15)*(1+$A131)^(10-1)*(1+'Table G'!$B$25)/(('Table G'!$B$18-'Table G'!$B$25)*(1+'Table G'!$B$18)^10),"")</f>
        <v>78663.056573295617</v>
      </c>
      <c r="D131" s="17">
        <f>IFERROR(('Table G'!$B$14+'Table G'!$B$15)/(1+'Table G'!$B$18)*IF(ABS(((1+$A131)/(1+'Table G'!$B$18))-1)&lt;0.000000001,5,(1-((1+$A131)/(1+'Table G'!$B$18))^5)/(1-((1+$A131)/(1+'Table G'!$B$18))))+('Table G'!$B$14+'Table G'!$B$15)*(1+$A131)^(5-1)*(1+'Table G'!$B$26)/(('Table G'!$B$18-'Table G'!$B$26)*(1+'Table G'!$B$18)^5),"")</f>
        <v>79915.899958409049</v>
      </c>
      <c r="E131" s="17">
        <f>IFERROR(('Table G'!$B$14+'Table G'!$B$15)/(1+'Table G'!$B$18)*IF(ABS(((1+$A131)/(1+'Table G'!$B$18))-1)&lt;0.000000001,10,(1-((1+$A131)/(1+'Table G'!$B$18))^10)/(1-((1+$A131)/(1+'Table G'!$B$18))))+('Table G'!$B$14+'Table G'!$B$15)*(1+$A131)^(10-1)*(1+'Table G'!$B$26)/(('Table G'!$B$18-'Table G'!$B$26)*(1+'Table G'!$B$18)^10),"")</f>
        <v>82303.380688454505</v>
      </c>
      <c r="F131" s="17">
        <f>IFERROR(('Table G'!$B$14+'Table G'!$B$15)/(1+'Table G'!$B$18)*IF(ABS(((1+$A131)/(1+'Table G'!$B$18))-1)&lt;0.000000001,5,(1-((1+$A131)/(1+'Table G'!$B$18))^5)/(1-((1+$A131)/(1+'Table G'!$B$18))))+('Table G'!$B$14+'Table G'!$B$15)*(1+$A131)^(5-1)*(1+'Table G'!$B$27)/(('Table G'!$B$18-'Table G'!$B$27)*(1+'Table G'!$B$18)^5),"")</f>
        <v>85423.954705753102</v>
      </c>
      <c r="G131" s="17">
        <f>IFERROR(('Table G'!$B$14+'Table G'!$B$15)/(1+'Table G'!$B$18)*IF(ABS(((1+$A131)/(1+'Table G'!$B$18))-1)&lt;0.000000001,10,(1-((1+$A131)/(1+'Table G'!$B$18))^10)/(1-((1+$A131)/(1+'Table G'!$B$18))))+('Table G'!$B$14+'Table G'!$B$15)*(1+$A131)^(10-1)*(1+'Table G'!$B$27)/(('Table G'!$B$18-'Table G'!$B$27)*(1+'Table G'!$B$18)^10),"")</f>
        <v>86577.416162772715</v>
      </c>
    </row>
    <row r="132" spans="1:7" x14ac:dyDescent="0.2">
      <c r="A132" s="8">
        <f>-0.1+128*$B$2</f>
        <v>2.7999999999999997E-2</v>
      </c>
      <c r="B132" s="17">
        <f>IFERROR(('Table G'!$B$14+'Table G'!$B$15)/(1+'Table G'!$B$18)*IF(ABS(((1+$A132)/(1+'Table G'!$B$18))-1)&lt;0.000000001,5,(1-((1+$A132)/(1+'Table G'!$B$18))^5)/(1-((1+$A132)/(1+'Table G'!$B$18))))+('Table G'!$B$14+'Table G'!$B$15)*(1+$A132)^(5-1)*(1+'Table G'!$B$25)/(('Table G'!$B$18-'Table G'!$B$25)*(1+'Table G'!$B$18)^5),"")</f>
        <v>75476.341337599471</v>
      </c>
      <c r="C132" s="17">
        <f>IFERROR(('Table G'!$B$14+'Table G'!$B$15)/(1+'Table G'!$B$18)*IF(ABS(((1+$A132)/(1+'Table G'!$B$18))-1)&lt;0.000000001,10,(1-((1+$A132)/(1+'Table G'!$B$18))^10)/(1-((1+$A132)/(1+'Table G'!$B$18))))+('Table G'!$B$14+'Table G'!$B$15)*(1+$A132)^(10-1)*(1+'Table G'!$B$25)/(('Table G'!$B$18-'Table G'!$B$25)*(1+'Table G'!$B$18)^10),"")</f>
        <v>79181.696862757992</v>
      </c>
      <c r="D132" s="17">
        <f>IFERROR(('Table G'!$B$14+'Table G'!$B$15)/(1+'Table G'!$B$18)*IF(ABS(((1+$A132)/(1+'Table G'!$B$18))-1)&lt;0.000000001,5,(1-((1+$A132)/(1+'Table G'!$B$18))^5)/(1-((1+$A132)/(1+'Table G'!$B$18))))+('Table G'!$B$14+'Table G'!$B$15)*(1+$A132)^(5-1)*(1+'Table G'!$B$26)/(('Table G'!$B$18-'Table G'!$B$26)*(1+'Table G'!$B$18)^5),"")</f>
        <v>80186.01551182507</v>
      </c>
      <c r="E132" s="17">
        <f>IFERROR(('Table G'!$B$14+'Table G'!$B$15)/(1+'Table G'!$B$18)*IF(ABS(((1+$A132)/(1+'Table G'!$B$18))-1)&lt;0.000000001,10,(1-((1+$A132)/(1+'Table G'!$B$18))^10)/(1-((1+$A132)/(1+'Table G'!$B$18))))+('Table G'!$B$14+'Table G'!$B$15)*(1+$A132)^(10-1)*(1+'Table G'!$B$26)/(('Table G'!$B$18-'Table G'!$B$26)*(1+'Table G'!$B$18)^10),"")</f>
        <v>82854.047086659411</v>
      </c>
      <c r="F132" s="17">
        <f>IFERROR(('Table G'!$B$14+'Table G'!$B$15)/(1+'Table G'!$B$18)*IF(ABS(((1+$A132)/(1+'Table G'!$B$18))-1)&lt;0.000000001,5,(1-((1+$A132)/(1+'Table G'!$B$18))^5)/(1-((1+$A132)/(1+'Table G'!$B$18))))+('Table G'!$B$14+'Table G'!$B$15)*(1+$A132)^(5-1)*(1+'Table G'!$B$27)/(('Table G'!$B$18-'Table G'!$B$27)*(1+'Table G'!$B$18)^5),"")</f>
        <v>85715.554601297554</v>
      </c>
      <c r="G132" s="17">
        <f>IFERROR(('Table G'!$B$14+'Table G'!$B$15)/(1+'Table G'!$B$18)*IF(ABS(((1+$A132)/(1+'Table G'!$B$18))-1)&lt;0.000000001,10,(1-((1+$A132)/(1+'Table G'!$B$18))^10)/(1-((1+$A132)/(1+'Table G'!$B$18))))+('Table G'!$B$14+'Table G'!$B$15)*(1+$A132)^(10-1)*(1+'Table G'!$B$27)/(('Table G'!$B$18-'Table G'!$B$27)*(1+'Table G'!$B$18)^10),"")</f>
        <v>87165.68380760838</v>
      </c>
    </row>
    <row r="133" spans="1:7" x14ac:dyDescent="0.2">
      <c r="A133" s="8">
        <f>-0.1+129*$B$2</f>
        <v>2.8999999999999998E-2</v>
      </c>
      <c r="B133" s="17">
        <f>IFERROR(('Table G'!$B$14+'Table G'!$B$15)/(1+'Table G'!$B$18)*IF(ABS(((1+$A133)/(1+'Table G'!$B$18))-1)&lt;0.000000001,5,(1-((1+$A133)/(1+'Table G'!$B$18))^5)/(1-((1+$A133)/(1+'Table G'!$B$18))))+('Table G'!$B$14+'Table G'!$B$15)*(1+$A133)^(5-1)*(1+'Table G'!$B$25)/(('Table G'!$B$18-'Table G'!$B$25)*(1+'Table G'!$B$18)^5),"")</f>
        <v>75728.855516364056</v>
      </c>
      <c r="C133" s="17">
        <f>IFERROR(('Table G'!$B$14+'Table G'!$B$15)/(1+'Table G'!$B$18)*IF(ABS(((1+$A133)/(1+'Table G'!$B$18))-1)&lt;0.000000001,10,(1-((1+$A133)/(1+'Table G'!$B$18))^10)/(1-((1+$A133)/(1+'Table G'!$B$18))))+('Table G'!$B$14+'Table G'!$B$15)*(1+$A133)^(10-1)*(1+'Table G'!$B$25)/(('Table G'!$B$18-'Table G'!$B$25)*(1+'Table G'!$B$18)^10),"")</f>
        <v>79703.978795425122</v>
      </c>
      <c r="D133" s="17">
        <f>IFERROR(('Table G'!$B$14+'Table G'!$B$15)/(1+'Table G'!$B$18)*IF(ABS(((1+$A133)/(1+'Table G'!$B$18))-1)&lt;0.000000001,5,(1-((1+$A133)/(1+'Table G'!$B$18))^5)/(1-((1+$A133)/(1+'Table G'!$B$18))))+('Table G'!$B$14+'Table G'!$B$15)*(1+$A133)^(5-1)*(1+'Table G'!$B$26)/(('Table G'!$B$18-'Table G'!$B$26)*(1+'Table G'!$B$18)^5),"")</f>
        <v>80456.882028039399</v>
      </c>
      <c r="E133" s="17">
        <f>IFERROR(('Table G'!$B$14+'Table G'!$B$15)/(1+'Table G'!$B$18)*IF(ABS(((1+$A133)/(1+'Table G'!$B$18))-1)&lt;0.000000001,10,(1-((1+$A133)/(1+'Table G'!$B$18))^10)/(1-((1+$A133)/(1+'Table G'!$B$18))))+('Table G'!$B$14+'Table G'!$B$15)*(1+$A133)^(10-1)*(1+'Table G'!$B$26)/(('Table G'!$B$18-'Table G'!$B$26)*(1+'Table G'!$B$18)^10),"")</f>
        <v>83408.605330657127</v>
      </c>
      <c r="F133" s="17">
        <f>IFERROR(('Table G'!$B$14+'Table G'!$B$15)/(1+'Table G'!$B$18)*IF(ABS(((1+$A133)/(1+'Table G'!$B$18))-1)&lt;0.000000001,5,(1-((1+$A133)/(1+'Table G'!$B$18))^5)/(1-((1+$A133)/(1+'Table G'!$B$18))))+('Table G'!$B$14+'Table G'!$B$15)*(1+$A133)^(5-1)*(1+'Table G'!$B$27)/(('Table G'!$B$18-'Table G'!$B$27)*(1+'Table G'!$B$18)^5),"")</f>
        <v>86007.968248705569</v>
      </c>
      <c r="G133" s="17">
        <f>IFERROR(('Table G'!$B$14+'Table G'!$B$15)/(1+'Table G'!$B$18)*IF(ABS(((1+$A133)/(1+'Table G'!$B$18))-1)&lt;0.000000001,10,(1-((1+$A133)/(1+'Table G'!$B$18))^10)/(1-((1+$A133)/(1+'Table G'!$B$18))))+('Table G'!$B$14+'Table G'!$B$15)*(1+$A133)^(10-1)*(1+'Table G'!$B$27)/(('Table G'!$B$18-'Table G'!$B$27)*(1+'Table G'!$B$18)^10),"")</f>
        <v>87758.137056348263</v>
      </c>
    </row>
    <row r="134" spans="1:7" x14ac:dyDescent="0.2">
      <c r="A134" s="8">
        <f>-0.1+130*$B$2</f>
        <v>0.03</v>
      </c>
      <c r="B134" s="17">
        <f>IFERROR(('Table G'!$B$14+'Table G'!$B$15)/(1+'Table G'!$B$18)*IF(ABS(((1+$A134)/(1+'Table G'!$B$18))-1)&lt;0.000000001,5,(1-((1+$A134)/(1+'Table G'!$B$18))^5)/(1-((1+$A134)/(1+'Table G'!$B$18))))+('Table G'!$B$14+'Table G'!$B$15)*(1+$A134)^(5-1)*(1+'Table G'!$B$25)/(('Table G'!$B$18-'Table G'!$B$25)*(1+'Table G'!$B$18)^5),"")</f>
        <v>75982.068499955567</v>
      </c>
      <c r="C134" s="17">
        <f>IFERROR(('Table G'!$B$14+'Table G'!$B$15)/(1+'Table G'!$B$18)*IF(ABS(((1+$A134)/(1+'Table G'!$B$18))-1)&lt;0.000000001,10,(1-((1+$A134)/(1+'Table G'!$B$18))^10)/(1-((1+$A134)/(1+'Table G'!$B$18))))+('Table G'!$B$14+'Table G'!$B$15)*(1+$A134)^(10-1)*(1+'Table G'!$B$25)/(('Table G'!$B$18-'Table G'!$B$25)*(1+'Table G'!$B$18)^10),"")</f>
        <v>80229.925919692672</v>
      </c>
      <c r="D134" s="17">
        <f>IFERROR(('Table G'!$B$14+'Table G'!$B$15)/(1+'Table G'!$B$18)*IF(ABS(((1+$A134)/(1+'Table G'!$B$18))-1)&lt;0.000000001,5,(1-((1+$A134)/(1+'Table G'!$B$18))^5)/(1-((1+$A134)/(1+'Table G'!$B$18))))+('Table G'!$B$14+'Table G'!$B$15)*(1+$A134)^(5-1)*(1+'Table G'!$B$26)/(('Table G'!$B$18-'Table G'!$B$26)*(1+'Table G'!$B$18)^5),"")</f>
        <v>80728.500932505427</v>
      </c>
      <c r="E134" s="17">
        <f>IFERROR(('Table G'!$B$14+'Table G'!$B$15)/(1+'Table G'!$B$18)*IF(ABS(((1+$A134)/(1+'Table G'!$B$18))-1)&lt;0.000000001,10,(1-((1+$A134)/(1+'Table G'!$B$18))^10)/(1-((1+$A134)/(1+'Table G'!$B$18))))+('Table G'!$B$14+'Table G'!$B$15)*(1+$A134)^(10-1)*(1+'Table G'!$B$26)/(('Table G'!$B$18-'Table G'!$B$26)*(1+'Table G'!$B$18)^10),"")</f>
        <v>83967.080677535851</v>
      </c>
      <c r="F134" s="17">
        <f>IFERROR(('Table G'!$B$14+'Table G'!$B$15)/(1+'Table G'!$B$18)*IF(ABS(((1+$A134)/(1+'Table G'!$B$18))-1)&lt;0.000000001,5,(1-((1+$A134)/(1+'Table G'!$B$18))^5)/(1-((1+$A134)/(1+'Table G'!$B$18))))+('Table G'!$B$14+'Table G'!$B$15)*(1+$A134)^(5-1)*(1+'Table G'!$B$27)/(('Table G'!$B$18-'Table G'!$B$27)*(1+'Table G'!$B$18)^5),"")</f>
        <v>86301.197195647677</v>
      </c>
      <c r="G134" s="17">
        <f>IFERROR(('Table G'!$B$14+'Table G'!$B$15)/(1+'Table G'!$B$18)*IF(ABS(((1+$A134)/(1+'Table G'!$B$18))-1)&lt;0.000000001,10,(1-((1+$A134)/(1+'Table G'!$B$18))^10)/(1-((1+$A134)/(1+'Table G'!$B$18))))+('Table G'!$B$14+'Table G'!$B$15)*(1+$A134)^(10-1)*(1+'Table G'!$B$27)/(('Table G'!$B$18-'Table G'!$B$27)*(1+'Table G'!$B$18)^10),"")</f>
        <v>88354.803172224085</v>
      </c>
    </row>
    <row r="135" spans="1:7" x14ac:dyDescent="0.2">
      <c r="A135" s="8">
        <f>-0.1+131*$B$2</f>
        <v>3.1E-2</v>
      </c>
      <c r="B135" s="17">
        <f>IFERROR(('Table G'!$B$14+'Table G'!$B$15)/(1+'Table G'!$B$18)*IF(ABS(((1+$A135)/(1+'Table G'!$B$18))-1)&lt;0.000000001,5,(1-((1+$A135)/(1+'Table G'!$B$18))^5)/(1-((1+$A135)/(1+'Table G'!$B$18))))+('Table G'!$B$14+'Table G'!$B$15)*(1+$A135)^(5-1)*(1+'Table G'!$B$25)/(('Table G'!$B$18-'Table G'!$B$25)*(1+'Table G'!$B$18)^5),"")</f>
        <v>76235.981610995339</v>
      </c>
      <c r="C135" s="17">
        <f>IFERROR(('Table G'!$B$14+'Table G'!$B$15)/(1+'Table G'!$B$18)*IF(ABS(((1+$A135)/(1+'Table G'!$B$18))-1)&lt;0.000000001,10,(1-((1+$A135)/(1+'Table G'!$B$18))^10)/(1-((1+$A135)/(1+'Table G'!$B$18))))+('Table G'!$B$14+'Table G'!$B$15)*(1+$A135)^(10-1)*(1+'Table G'!$B$25)/(('Table G'!$B$18-'Table G'!$B$25)*(1+'Table G'!$B$18)^10),"")</f>
        <v>80759.561917207175</v>
      </c>
      <c r="D135" s="17">
        <f>IFERROR(('Table G'!$B$14+'Table G'!$B$15)/(1+'Table G'!$B$18)*IF(ABS(((1+$A135)/(1+'Table G'!$B$18))-1)&lt;0.000000001,5,(1-((1+$A135)/(1+'Table G'!$B$18))^5)/(1-((1+$A135)/(1+'Table G'!$B$18))))+('Table G'!$B$14+'Table G'!$B$15)*(1+$A135)^(5-1)*(1+'Table G'!$B$26)/(('Table G'!$B$18-'Table G'!$B$26)*(1+'Table G'!$B$18)^5),"")</f>
        <v>81000.873652041686</v>
      </c>
      <c r="E135" s="17">
        <f>IFERROR(('Table G'!$B$14+'Table G'!$B$15)/(1+'Table G'!$B$18)*IF(ABS(((1+$A135)/(1+'Table G'!$B$18))-1)&lt;0.000000001,10,(1-((1+$A135)/(1+'Table G'!$B$18))^10)/(1-((1+$A135)/(1+'Table G'!$B$18))))+('Table G'!$B$14+'Table G'!$B$15)*(1+$A135)^(10-1)*(1+'Table G'!$B$26)/(('Table G'!$B$18-'Table G'!$B$26)*(1+'Table G'!$B$18)^10),"")</f>
        <v>84529.498527626856</v>
      </c>
      <c r="F135" s="17">
        <f>IFERROR(('Table G'!$B$14+'Table G'!$B$15)/(1+'Table G'!$B$18)*IF(ABS(((1+$A135)/(1+'Table G'!$B$18))-1)&lt;0.000000001,5,(1-((1+$A135)/(1+'Table G'!$B$18))^5)/(1-((1+$A135)/(1+'Table G'!$B$18))))+('Table G'!$B$14+'Table G'!$B$15)*(1+$A135)^(5-1)*(1+'Table G'!$B$27)/(('Table G'!$B$18-'Table G'!$B$27)*(1+'Table G'!$B$18)^5),"")</f>
        <v>86595.242991278297</v>
      </c>
      <c r="G135" s="17">
        <f>IFERROR(('Table G'!$B$14+'Table G'!$B$15)/(1+'Table G'!$B$18)*IF(ABS(((1+$A135)/(1+'Table G'!$B$18))-1)&lt;0.000000001,10,(1-((1+$A135)/(1+'Table G'!$B$18))^10)/(1-((1+$A135)/(1+'Table G'!$B$18))))+('Table G'!$B$14+'Table G'!$B$15)*(1+$A135)^(10-1)*(1+'Table G'!$B$27)/(('Table G'!$B$18-'Table G'!$B$27)*(1+'Table G'!$B$18)^10),"")</f>
        <v>88955.709573442335</v>
      </c>
    </row>
    <row r="136" spans="1:7" x14ac:dyDescent="0.2">
      <c r="A136" s="8">
        <f>-0.1+132*$B$2</f>
        <v>3.2000000000000001E-2</v>
      </c>
      <c r="B136" s="17">
        <f>IFERROR(('Table G'!$B$14+'Table G'!$B$15)/(1+'Table G'!$B$18)*IF(ABS(((1+$A136)/(1+'Table G'!$B$18))-1)&lt;0.000000001,5,(1-((1+$A136)/(1+'Table G'!$B$18))^5)/(1-((1+$A136)/(1+'Table G'!$B$18))))+('Table G'!$B$14+'Table G'!$B$15)*(1+$A136)^(5-1)*(1+'Table G'!$B$25)/(('Table G'!$B$18-'Table G'!$B$25)*(1+'Table G'!$B$18)^5),"")</f>
        <v>76490.596173368773</v>
      </c>
      <c r="C136" s="17">
        <f>IFERROR(('Table G'!$B$14+'Table G'!$B$15)/(1+'Table G'!$B$18)*IF(ABS(((1+$A136)/(1+'Table G'!$B$18))-1)&lt;0.000000001,10,(1-((1+$A136)/(1+'Table G'!$B$18))^10)/(1-((1+$A136)/(1+'Table G'!$B$18))))+('Table G'!$B$14+'Table G'!$B$15)*(1+$A136)^(10-1)*(1+'Table G'!$B$25)/(('Table G'!$B$18-'Table G'!$B$25)*(1+'Table G'!$B$18)^10),"")</f>
        <v>81292.910603500801</v>
      </c>
      <c r="D136" s="17">
        <f>IFERROR(('Table G'!$B$14+'Table G'!$B$15)/(1+'Table G'!$B$18)*IF(ABS(((1+$A136)/(1+'Table G'!$B$18))-1)&lt;0.000000001,5,(1-((1+$A136)/(1+'Table G'!$B$18))^5)/(1-((1+$A136)/(1+'Table G'!$B$18))))+('Table G'!$B$14+'Table G'!$B$15)*(1+$A136)^(5-1)*(1+'Table G'!$B$26)/(('Table G'!$B$18-'Table G'!$B$26)*(1+'Table G'!$B$18)^5),"")</f>
        <v>81274.00161483197</v>
      </c>
      <c r="E136" s="17">
        <f>IFERROR(('Table G'!$B$14+'Table G'!$B$15)/(1+'Table G'!$B$18)*IF(ABS(((1+$A136)/(1+'Table G'!$B$18))-1)&lt;0.000000001,10,(1-((1+$A136)/(1+'Table G'!$B$18))^10)/(1-((1+$A136)/(1+'Table G'!$B$18))))+('Table G'!$B$14+'Table G'!$B$15)*(1+$A136)^(10-1)*(1+'Table G'!$B$26)/(('Table G'!$B$18-'Table G'!$B$26)*(1+'Table G'!$B$18)^10),"")</f>
        <v>85095.884425188182</v>
      </c>
      <c r="F136" s="17">
        <f>IFERROR(('Table G'!$B$14+'Table G'!$B$15)/(1+'Table G'!$B$18)*IF(ABS(((1+$A136)/(1+'Table G'!$B$18))-1)&lt;0.000000001,5,(1-((1+$A136)/(1+'Table G'!$B$18))^5)/(1-((1+$A136)/(1+'Table G'!$B$18))))+('Table G'!$B$14+'Table G'!$B$15)*(1+$A136)^(5-1)*(1+'Table G'!$B$27)/(('Table G'!$B$18-'Table G'!$B$27)*(1+'Table G'!$B$18)^5),"")</f>
        <v>86890.10718623604</v>
      </c>
      <c r="G136" s="17">
        <f>IFERROR(('Table G'!$B$14+'Table G'!$B$15)/(1+'Table G'!$B$18)*IF(ABS(((1+$A136)/(1+'Table G'!$B$18))-1)&lt;0.000000001,10,(1-((1+$A136)/(1+'Table G'!$B$18))^10)/(1-((1+$A136)/(1+'Table G'!$B$18))))+('Table G'!$B$14+'Table G'!$B$15)*(1+$A136)^(10-1)*(1+'Table G'!$B$27)/(('Table G'!$B$18-'Table G'!$B$27)*(1+'Table G'!$B$18)^10),"")</f>
        <v>89560.883833925123</v>
      </c>
    </row>
    <row r="137" spans="1:7" x14ac:dyDescent="0.2">
      <c r="A137" s="8">
        <f>-0.1+133*$B$2</f>
        <v>3.3000000000000002E-2</v>
      </c>
      <c r="B137" s="17">
        <f>IFERROR(('Table G'!$B$14+'Table G'!$B$15)/(1+'Table G'!$B$18)*IF(ABS(((1+$A137)/(1+'Table G'!$B$18))-1)&lt;0.000000001,5,(1-((1+$A137)/(1+'Table G'!$B$18))^5)/(1-((1+$A137)/(1+'Table G'!$B$18))))+('Table G'!$B$14+'Table G'!$B$15)*(1+$A137)^(5-1)*(1+'Table G'!$B$25)/(('Table G'!$B$18-'Table G'!$B$25)*(1+'Table G'!$B$18)^5),"")</f>
        <v>76745.913512225205</v>
      </c>
      <c r="C137" s="17">
        <f>IFERROR(('Table G'!$B$14+'Table G'!$B$15)/(1+'Table G'!$B$18)*IF(ABS(((1+$A137)/(1+'Table G'!$B$18))-1)&lt;0.000000001,10,(1-((1+$A137)/(1+'Table G'!$B$18))^10)/(1-((1+$A137)/(1+'Table G'!$B$18))))+('Table G'!$B$14+'Table G'!$B$15)*(1+$A137)^(10-1)*(1+'Table G'!$B$25)/(('Table G'!$B$18-'Table G'!$B$25)*(1+'Table G'!$B$18)^10),"")</f>
        <v>81829.995928628225</v>
      </c>
      <c r="D137" s="17">
        <f>IFERROR(('Table G'!$B$14+'Table G'!$B$15)/(1+'Table G'!$B$18)*IF(ABS(((1+$A137)/(1+'Table G'!$B$18))-1)&lt;0.000000001,5,(1-((1+$A137)/(1+'Table G'!$B$18))^5)/(1-((1+$A137)/(1+'Table G'!$B$18))))+('Table G'!$B$14+'Table G'!$B$15)*(1+$A137)^(5-1)*(1+'Table G'!$B$26)/(('Table G'!$B$18-'Table G'!$B$26)*(1+'Table G'!$B$18)^5),"")</f>
        <v>81547.886250425217</v>
      </c>
      <c r="E137" s="17">
        <f>IFERROR(('Table G'!$B$14+'Table G'!$B$15)/(1+'Table G'!$B$18)*IF(ABS(((1+$A137)/(1+'Table G'!$B$18))-1)&lt;0.000000001,10,(1-((1+$A137)/(1+'Table G'!$B$18))^10)/(1-((1+$A137)/(1+'Table G'!$B$18))))+('Table G'!$B$14+'Table G'!$B$15)*(1+$A137)^(10-1)*(1+'Table G'!$B$26)/(('Table G'!$B$18-'Table G'!$B$26)*(1+'Table G'!$B$18)^10),"")</f>
        <v>85666.264059089997</v>
      </c>
      <c r="F137" s="17">
        <f>IFERROR(('Table G'!$B$14+'Table G'!$B$15)/(1+'Table G'!$B$18)*IF(ABS(((1+$A137)/(1+'Table G'!$B$18))-1)&lt;0.000000001,5,(1-((1+$A137)/(1+'Table G'!$B$18))^5)/(1-((1+$A137)/(1+'Table G'!$B$18))))+('Table G'!$B$14+'Table G'!$B$15)*(1+$A137)^(5-1)*(1+'Table G'!$B$27)/(('Table G'!$B$18-'Table G'!$B$27)*(1+'Table G'!$B$18)^5),"")</f>
        <v>87185.791332643406</v>
      </c>
      <c r="G137" s="17">
        <f>IFERROR(('Table G'!$B$14+'Table G'!$B$15)/(1+'Table G'!$B$18)*IF(ABS(((1+$A137)/(1+'Table G'!$B$18))-1)&lt;0.000000001,10,(1-((1+$A137)/(1+'Table G'!$B$18))^10)/(1-((1+$A137)/(1+'Table G'!$B$18))))+('Table G'!$B$14+'Table G'!$B$15)*(1+$A137)^(10-1)*(1+'Table G'!$B$27)/(('Table G'!$B$18-'Table G'!$B$27)*(1+'Table G'!$B$18)^10),"")</f>
        <v>90170.353684053058</v>
      </c>
    </row>
    <row r="138" spans="1:7" x14ac:dyDescent="0.2">
      <c r="A138" s="8">
        <f>-0.1+134*$B$2</f>
        <v>3.4000000000000002E-2</v>
      </c>
      <c r="B138" s="17">
        <f>IFERROR(('Table G'!$B$14+'Table G'!$B$15)/(1+'Table G'!$B$18)*IF(ABS(((1+$A138)/(1+'Table G'!$B$18))-1)&lt;0.000000001,5,(1-((1+$A138)/(1+'Table G'!$B$18))^5)/(1-((1+$A138)/(1+'Table G'!$B$18))))+('Table G'!$B$14+'Table G'!$B$15)*(1+$A138)^(5-1)*(1+'Table G'!$B$25)/(('Table G'!$B$18-'Table G'!$B$25)*(1+'Table G'!$B$18)^5),"")</f>
        <v>77001.934953978125</v>
      </c>
      <c r="C138" s="17">
        <f>IFERROR(('Table G'!$B$14+'Table G'!$B$15)/(1+'Table G'!$B$18)*IF(ABS(((1+$A138)/(1+'Table G'!$B$18))-1)&lt;0.000000001,10,(1-((1+$A138)/(1+'Table G'!$B$18))^10)/(1-((1+$A138)/(1+'Table G'!$B$18))))+('Table G'!$B$14+'Table G'!$B$15)*(1+$A138)^(10-1)*(1+'Table G'!$B$25)/(('Table G'!$B$18-'Table G'!$B$25)*(1+'Table G'!$B$18)^10),"")</f>
        <v>82370.84197780682</v>
      </c>
      <c r="D138" s="17">
        <f>IFERROR(('Table G'!$B$14+'Table G'!$B$15)/(1+'Table G'!$B$18)*IF(ABS(((1+$A138)/(1+'Table G'!$B$18))-1)&lt;0.000000001,5,(1-((1+$A138)/(1+'Table G'!$B$18))^5)/(1-((1+$A138)/(1+'Table G'!$B$18))))+('Table G'!$B$14+'Table G'!$B$15)*(1+$A138)^(5-1)*(1+'Table G'!$B$26)/(('Table G'!$B$18-'Table G'!$B$26)*(1+'Table G'!$B$18)^5),"")</f>
        <v>81822.528989735743</v>
      </c>
      <c r="E138" s="17">
        <f>IFERROR(('Table G'!$B$14+'Table G'!$B$15)/(1+'Table G'!$B$18)*IF(ABS(((1+$A138)/(1+'Table G'!$B$18))-1)&lt;0.000000001,10,(1-((1+$A138)/(1+'Table G'!$B$18))^10)/(1-((1+$A138)/(1+'Table G'!$B$18))))+('Table G'!$B$14+'Table G'!$B$15)*(1+$A138)^(10-1)*(1+'Table G'!$B$26)/(('Table G'!$B$18-'Table G'!$B$26)*(1+'Table G'!$B$18)^10),"")</f>
        <v>86240.663263504117</v>
      </c>
      <c r="F138" s="17">
        <f>IFERROR(('Table G'!$B$14+'Table G'!$B$15)/(1+'Table G'!$B$18)*IF(ABS(((1+$A138)/(1+'Table G'!$B$18))-1)&lt;0.000000001,5,(1-((1+$A138)/(1+'Table G'!$B$18))^5)/(1-((1+$A138)/(1+'Table G'!$B$18))))+('Table G'!$B$14+'Table G'!$B$15)*(1+$A138)^(5-1)*(1+'Table G'!$B$27)/(('Table G'!$B$18-'Table G'!$B$27)*(1+'Table G'!$B$18)^5),"")</f>
        <v>87482.29698410719</v>
      </c>
      <c r="G138" s="17">
        <f>IFERROR(('Table G'!$B$14+'Table G'!$B$15)/(1+'Table G'!$B$18)*IF(ABS(((1+$A138)/(1+'Table G'!$B$18))-1)&lt;0.000000001,10,(1-((1+$A138)/(1+'Table G'!$B$18))^10)/(1-((1+$A138)/(1+'Table G'!$B$18))))+('Table G'!$B$14+'Table G'!$B$15)*(1+$A138)^(10-1)*(1+'Table G'!$B$27)/(('Table G'!$B$18-'Table G'!$B$27)*(1+'Table G'!$B$18)^10),"")</f>
        <v>90784.147011412104</v>
      </c>
    </row>
    <row r="139" spans="1:7" x14ac:dyDescent="0.2">
      <c r="A139" s="8">
        <f>-0.1+135*$B$2</f>
        <v>3.5000000000000003E-2</v>
      </c>
      <c r="B139" s="17">
        <f>IFERROR(('Table G'!$B$14+'Table G'!$B$15)/(1+'Table G'!$B$18)*IF(ABS(((1+$A139)/(1+'Table G'!$B$18))-1)&lt;0.000000001,5,(1-((1+$A139)/(1+'Table G'!$B$18))^5)/(1-((1+$A139)/(1+'Table G'!$B$18))))+('Table G'!$B$14+'Table G'!$B$15)*(1+$A139)^(5-1)*(1+'Table G'!$B$25)/(('Table G'!$B$18-'Table G'!$B$25)*(1+'Table G'!$B$18)^5),"")</f>
        <v>77258.661826304917</v>
      </c>
      <c r="C139" s="17">
        <f>IFERROR(('Table G'!$B$14+'Table G'!$B$15)/(1+'Table G'!$B$18)*IF(ABS(((1+$A139)/(1+'Table G'!$B$18))-1)&lt;0.000000001,10,(1-((1+$A139)/(1+'Table G'!$B$18))^10)/(1-((1+$A139)/(1+'Table G'!$B$18))))+('Table G'!$B$14+'Table G'!$B$15)*(1+$A139)^(10-1)*(1+'Table G'!$B$25)/(('Table G'!$B$18-'Table G'!$B$25)*(1+'Table G'!$B$18)^10),"")</f>
        <v>82915.472972057745</v>
      </c>
      <c r="D139" s="17">
        <f>IFERROR(('Table G'!$B$14+'Table G'!$B$15)/(1+'Table G'!$B$18)*IF(ABS(((1+$A139)/(1+'Table G'!$B$18))-1)&lt;0.000000001,5,(1-((1+$A139)/(1+'Table G'!$B$18))^5)/(1-((1+$A139)/(1+'Table G'!$B$18))))+('Table G'!$B$14+'Table G'!$B$15)*(1+$A139)^(5-1)*(1+'Table G'!$B$26)/(('Table G'!$B$18-'Table G'!$B$26)*(1+'Table G'!$B$18)^5),"")</f>
        <v>82097.931265042964</v>
      </c>
      <c r="E139" s="17">
        <f>IFERROR(('Table G'!$B$14+'Table G'!$B$15)/(1+'Table G'!$B$18)*IF(ABS(((1+$A139)/(1+'Table G'!$B$18))-1)&lt;0.000000001,10,(1-((1+$A139)/(1+'Table G'!$B$18))^10)/(1-((1+$A139)/(1+'Table G'!$B$18))))+('Table G'!$B$14+'Table G'!$B$15)*(1+$A139)^(10-1)*(1+'Table G'!$B$26)/(('Table G'!$B$18-'Table G'!$B$26)*(1+'Table G'!$B$18)^10),"")</f>
        <v>86819.108018594154</v>
      </c>
      <c r="F139" s="17">
        <f>IFERROR(('Table G'!$B$14+'Table G'!$B$15)/(1+'Table G'!$B$18)*IF(ABS(((1+$A139)/(1+'Table G'!$B$18))-1)&lt;0.000000001,5,(1-((1+$A139)/(1+'Table G'!$B$18))^5)/(1-((1+$A139)/(1+'Table G'!$B$18))))+('Table G'!$B$14+'Table G'!$B$15)*(1+$A139)^(5-1)*(1+'Table G'!$B$27)/(('Table G'!$B$18-'Table G'!$B$27)*(1+'Table G'!$B$18)^5),"")</f>
        <v>87779.625695718016</v>
      </c>
      <c r="G139" s="17">
        <f>IFERROR(('Table G'!$B$14+'Table G'!$B$15)/(1+'Table G'!$B$18)*IF(ABS(((1+$A139)/(1+'Table G'!$B$18))-1)&lt;0.000000001,10,(1-((1+$A139)/(1+'Table G'!$B$18))^10)/(1-((1+$A139)/(1+'Table G'!$B$18))))+('Table G'!$B$14+'Table G'!$B$15)*(1+$A139)^(10-1)*(1+'Table G'!$B$27)/(('Table G'!$B$18-'Table G'!$B$27)*(1+'Table G'!$B$18)^10),"")</f>
        <v>91402.291861541627</v>
      </c>
    </row>
    <row r="140" spans="1:7" x14ac:dyDescent="0.2">
      <c r="A140" s="8">
        <f>-0.1+136*$B$2</f>
        <v>3.6000000000000004E-2</v>
      </c>
      <c r="B140" s="17">
        <f>IFERROR(('Table G'!$B$14+'Table G'!$B$15)/(1+'Table G'!$B$18)*IF(ABS(((1+$A140)/(1+'Table G'!$B$18))-1)&lt;0.000000001,5,(1-((1+$A140)/(1+'Table G'!$B$18))^5)/(1-((1+$A140)/(1+'Table G'!$B$18))))+('Table G'!$B$14+'Table G'!$B$15)*(1+$A140)^(5-1)*(1+'Table G'!$B$25)/(('Table G'!$B$18-'Table G'!$B$25)*(1+'Table G'!$B$18)^5),"")</f>
        <v>77516.095458147043</v>
      </c>
      <c r="C140" s="17">
        <f>IFERROR(('Table G'!$B$14+'Table G'!$B$15)/(1+'Table G'!$B$18)*IF(ABS(((1+$A140)/(1+'Table G'!$B$18))-1)&lt;0.000000001,10,(1-((1+$A140)/(1+'Table G'!$B$18))^10)/(1-((1+$A140)/(1+'Table G'!$B$18))))+('Table G'!$B$14+'Table G'!$B$15)*(1+$A140)^(10-1)*(1+'Table G'!$B$25)/(('Table G'!$B$18-'Table G'!$B$25)*(1+'Table G'!$B$18)^10),"")</f>
        <v>83463.91326885116</v>
      </c>
      <c r="D140" s="17">
        <f>IFERROR(('Table G'!$B$14+'Table G'!$B$15)/(1+'Table G'!$B$18)*IF(ABS(((1+$A140)/(1+'Table G'!$B$18))-1)&lt;0.000000001,5,(1-((1+$A140)/(1+'Table G'!$B$18))^5)/(1-((1+$A140)/(1+'Table G'!$B$18))))+('Table G'!$B$14+'Table G'!$B$15)*(1+$A140)^(5-1)*(1+'Table G'!$B$26)/(('Table G'!$B$18-'Table G'!$B$26)*(1+'Table G'!$B$18)^5),"")</f>
        <v>82374.094509991613</v>
      </c>
      <c r="E140" s="17">
        <f>IFERROR(('Table G'!$B$14+'Table G'!$B$15)/(1+'Table G'!$B$18)*IF(ABS(((1+$A140)/(1+'Table G'!$B$18))-1)&lt;0.000000001,10,(1-((1+$A140)/(1+'Table G'!$B$18))^10)/(1-((1+$A140)/(1+'Table G'!$B$18))))+('Table G'!$B$14+'Table G'!$B$15)*(1+$A140)^(10-1)*(1+'Table G'!$B$26)/(('Table G'!$B$18-'Table G'!$B$26)*(1+'Table G'!$B$18)^10),"")</f>
        <v>87401.624451210111</v>
      </c>
      <c r="F140" s="17">
        <f>IFERROR(('Table G'!$B$14+'Table G'!$B$15)/(1+'Table G'!$B$18)*IF(ABS(((1+$A140)/(1+'Table G'!$B$18))-1)&lt;0.000000001,5,(1-((1+$A140)/(1+'Table G'!$B$18))^5)/(1-((1+$A140)/(1+'Table G'!$B$18))))+('Table G'!$B$14+'Table G'!$B$15)*(1+$A140)^(5-1)*(1+'Table G'!$B$27)/(('Table G'!$B$18-'Table G'!$B$27)*(1+'Table G'!$B$18)^5),"")</f>
        <v>88077.779024050746</v>
      </c>
      <c r="G140" s="17">
        <f>IFERROR(('Table G'!$B$14+'Table G'!$B$15)/(1+'Table G'!$B$18)*IF(ABS(((1+$A140)/(1+'Table G'!$B$18))-1)&lt;0.000000001,10,(1-((1+$A140)/(1+'Table G'!$B$18))^10)/(1-((1+$A140)/(1+'Table G'!$B$18))))+('Table G'!$B$14+'Table G'!$B$15)*(1+$A140)^(10-1)*(1+'Table G'!$B$27)/(('Table G'!$B$18-'Table G'!$B$27)*(1+'Table G'!$B$18)^10),"")</f>
        <v>92024.816438687049</v>
      </c>
    </row>
    <row r="141" spans="1:7" x14ac:dyDescent="0.2">
      <c r="A141" s="8">
        <f>-0.1+137*$B$2</f>
        <v>3.7000000000000005E-2</v>
      </c>
      <c r="B141" s="17">
        <f>IFERROR(('Table G'!$B$14+'Table G'!$B$15)/(1+'Table G'!$B$18)*IF(ABS(((1+$A141)/(1+'Table G'!$B$18))-1)&lt;0.000000001,5,(1-((1+$A141)/(1+'Table G'!$B$18))^5)/(1-((1+$A141)/(1+'Table G'!$B$18))))+('Table G'!$B$14+'Table G'!$B$15)*(1+$A141)^(5-1)*(1+'Table G'!$B$25)/(('Table G'!$B$18-'Table G'!$B$25)*(1+'Table G'!$B$18)^5),"")</f>
        <v>77774.237179709948</v>
      </c>
      <c r="C141" s="17">
        <f>IFERROR(('Table G'!$B$14+'Table G'!$B$15)/(1+'Table G'!$B$18)*IF(ABS(((1+$A141)/(1+'Table G'!$B$18))-1)&lt;0.000000001,10,(1-((1+$A141)/(1+'Table G'!$B$18))^10)/(1-((1+$A141)/(1+'Table G'!$B$18))))+('Table G'!$B$14+'Table G'!$B$15)*(1+$A141)^(10-1)*(1+'Table G'!$B$25)/(('Table G'!$B$18-'Table G'!$B$25)*(1+'Table G'!$B$18)^10),"")</f>
        <v>84016.187362752476</v>
      </c>
      <c r="D141" s="17">
        <f>IFERROR(('Table G'!$B$14+'Table G'!$B$15)/(1+'Table G'!$B$18)*IF(ABS(((1+$A141)/(1+'Table G'!$B$18))-1)&lt;0.000000001,5,(1-((1+$A141)/(1+'Table G'!$B$18))^5)/(1-((1+$A141)/(1+'Table G'!$B$18))))+('Table G'!$B$14+'Table G'!$B$15)*(1+$A141)^(5-1)*(1+'Table G'!$B$26)/(('Table G'!$B$18-'Table G'!$B$26)*(1+'Table G'!$B$18)^5),"")</f>
        <v>82651.020159591542</v>
      </c>
      <c r="E141" s="17">
        <f>IFERROR(('Table G'!$B$14+'Table G'!$B$15)/(1+'Table G'!$B$18)*IF(ABS(((1+$A141)/(1+'Table G'!$B$18))-1)&lt;0.000000001,10,(1-((1+$A141)/(1+'Table G'!$B$18))^10)/(1-((1+$A141)/(1+'Table G'!$B$18))))+('Table G'!$B$14+'Table G'!$B$15)*(1+$A141)^(10-1)*(1+'Table G'!$B$26)/(('Table G'!$B$18-'Table G'!$B$26)*(1+'Table G'!$B$18)^10),"")</f>
        <v>87988.238835584401</v>
      </c>
      <c r="F141" s="17">
        <f>IFERROR(('Table G'!$B$14+'Table G'!$B$15)/(1+'Table G'!$B$18)*IF(ABS(((1+$A141)/(1+'Table G'!$B$18))-1)&lt;0.000000001,5,(1-((1+$A141)/(1+'Table G'!$B$18))^5)/(1-((1+$A141)/(1+'Table G'!$B$18))))+('Table G'!$B$14+'Table G'!$B$15)*(1+$A141)^(5-1)*(1+'Table G'!$B$27)/(('Table G'!$B$18-'Table G'!$B$27)*(1+'Table G'!$B$18)^5),"")</f>
        <v>88376.758527164158</v>
      </c>
      <c r="G141" s="17">
        <f>IFERROR(('Table G'!$B$14+'Table G'!$B$15)/(1+'Table G'!$B$18)*IF(ABS(((1+$A141)/(1+'Table G'!$B$18))-1)&lt;0.000000001,10,(1-((1+$A141)/(1+'Table G'!$B$18))^10)/(1-((1+$A141)/(1+'Table G'!$B$18))))+('Table G'!$B$14+'Table G'!$B$15)*(1+$A141)^(10-1)*(1+'Table G'!$B$27)/(('Table G'!$B$18-'Table G'!$B$27)*(1+'Table G'!$B$18)^10),"")</f>
        <v>92651.749106553907</v>
      </c>
    </row>
    <row r="142" spans="1:7" x14ac:dyDescent="0.2">
      <c r="A142" s="8">
        <f>-0.1+138*$B$2</f>
        <v>3.8000000000000006E-2</v>
      </c>
      <c r="B142" s="17">
        <f>IFERROR(('Table G'!$B$14+'Table G'!$B$15)/(1+'Table G'!$B$18)*IF(ABS(((1+$A142)/(1+'Table G'!$B$18))-1)&lt;0.000000001,5,(1-((1+$A142)/(1+'Table G'!$B$18))^5)/(1-((1+$A142)/(1+'Table G'!$B$18))))+('Table G'!$B$14+'Table G'!$B$15)*(1+$A142)^(5-1)*(1+'Table G'!$B$25)/(('Table G'!$B$18-'Table G'!$B$25)*(1+'Table G'!$B$18)^5),"")</f>
        <v>78033.088322463227</v>
      </c>
      <c r="C142" s="17">
        <f>IFERROR(('Table G'!$B$14+'Table G'!$B$15)/(1+'Table G'!$B$18)*IF(ABS(((1+$A142)/(1+'Table G'!$B$18))-1)&lt;0.000000001,10,(1-((1+$A142)/(1+'Table G'!$B$18))^10)/(1-((1+$A142)/(1+'Table G'!$B$18))))+('Table G'!$B$14+'Table G'!$B$15)*(1+$A142)^(10-1)*(1+'Table G'!$B$25)/(('Table G'!$B$18-'Table G'!$B$25)*(1+'Table G'!$B$18)^10),"")</f>
        <v>84572.319886072408</v>
      </c>
      <c r="D142" s="17">
        <f>IFERROR(('Table G'!$B$14+'Table G'!$B$15)/(1+'Table G'!$B$18)*IF(ABS(((1+$A142)/(1+'Table G'!$B$18))-1)&lt;0.000000001,5,(1-((1+$A142)/(1+'Table G'!$B$18))^5)/(1-((1+$A142)/(1+'Table G'!$B$18))))+('Table G'!$B$14+'Table G'!$B$15)*(1+$A142)^(5-1)*(1+'Table G'!$B$26)/(('Table G'!$B$18-'Table G'!$B$26)*(1+'Table G'!$B$18)^5),"")</f>
        <v>82928.70965021805</v>
      </c>
      <c r="E142" s="17">
        <f>IFERROR(('Table G'!$B$14+'Table G'!$B$15)/(1+'Table G'!$B$18)*IF(ABS(((1+$A142)/(1+'Table G'!$B$18))-1)&lt;0.000000001,10,(1-((1+$A142)/(1+'Table G'!$B$18))^10)/(1-((1+$A142)/(1+'Table G'!$B$18))))+('Table G'!$B$14+'Table G'!$B$15)*(1+$A142)^(10-1)*(1+'Table G'!$B$26)/(('Table G'!$B$18-'Table G'!$B$26)*(1+'Table G'!$B$18)^10),"")</f>
        <v>88578.977594031516</v>
      </c>
      <c r="F142" s="17">
        <f>IFERROR(('Table G'!$B$14+'Table G'!$B$15)/(1+'Table G'!$B$18)*IF(ABS(((1+$A142)/(1+'Table G'!$B$18))-1)&lt;0.000000001,5,(1-((1+$A142)/(1+'Table G'!$B$18))^5)/(1-((1+$A142)/(1+'Table G'!$B$18))))+('Table G'!$B$14+'Table G'!$B$15)*(1+$A142)^(5-1)*(1+'Table G'!$B$27)/(('Table G'!$B$18-'Table G'!$B$27)*(1+'Table G'!$B$18)^5),"")</f>
        <v>88676.565764601313</v>
      </c>
      <c r="G142" s="17">
        <f>IFERROR(('Table G'!$B$14+'Table G'!$B$15)/(1+'Table G'!$B$18)*IF(ABS(((1+$A142)/(1+'Table G'!$B$18))-1)&lt;0.000000001,10,(1-((1+$A142)/(1+'Table G'!$B$18))^10)/(1-((1+$A142)/(1+'Table G'!$B$18))))+('Table G'!$B$14+'Table G'!$B$15)*(1+$A142)^(10-1)*(1+'Table G'!$B$27)/(('Table G'!$B$18-'Table G'!$B$27)*(1+'Table G'!$B$18)^10),"")</f>
        <v>93283.118389066221</v>
      </c>
    </row>
    <row r="143" spans="1:7" x14ac:dyDescent="0.2">
      <c r="A143" s="8">
        <f>-0.1+139*$B$2</f>
        <v>3.9000000000000007E-2</v>
      </c>
      <c r="B143" s="17">
        <f>IFERROR(('Table G'!$B$14+'Table G'!$B$15)/(1+'Table G'!$B$18)*IF(ABS(((1+$A143)/(1+'Table G'!$B$18))-1)&lt;0.000000001,5,(1-((1+$A143)/(1+'Table G'!$B$18))^5)/(1-((1+$A143)/(1+'Table G'!$B$18))))+('Table G'!$B$14+'Table G'!$B$15)*(1+$A143)^(5-1)*(1+'Table G'!$B$25)/(('Table G'!$B$18-'Table G'!$B$25)*(1+'Table G'!$B$18)^5),"")</f>
        <v>78292.65021914024</v>
      </c>
      <c r="C143" s="17">
        <f>IFERROR(('Table G'!$B$14+'Table G'!$B$15)/(1+'Table G'!$B$18)*IF(ABS(((1+$A143)/(1+'Table G'!$B$18))-1)&lt;0.000000001,10,(1-((1+$A143)/(1+'Table G'!$B$18))^10)/(1-((1+$A143)/(1+'Table G'!$B$18))))+('Table G'!$B$14+'Table G'!$B$15)*(1+$A143)^(10-1)*(1+'Table G'!$B$25)/(('Table G'!$B$18-'Table G'!$B$25)*(1+'Table G'!$B$18)^10),"")</f>
        <v>85132.335609517904</v>
      </c>
      <c r="D143" s="17">
        <f>IFERROR(('Table G'!$B$14+'Table G'!$B$15)/(1+'Table G'!$B$18)*IF(ABS(((1+$A143)/(1+'Table G'!$B$18))-1)&lt;0.000000001,5,(1-((1+$A143)/(1+'Table G'!$B$18))^5)/(1-((1+$A143)/(1+'Table G'!$B$18))))+('Table G'!$B$14+'Table G'!$B$15)*(1+$A143)^(5-1)*(1+'Table G'!$B$26)/(('Table G'!$B$18-'Table G'!$B$26)*(1+'Table G'!$B$18)^5),"")</f>
        <v>83207.164419611348</v>
      </c>
      <c r="E143" s="17">
        <f>IFERROR(('Table G'!$B$14+'Table G'!$B$15)/(1+'Table G'!$B$18)*IF(ABS(((1+$A143)/(1+'Table G'!$B$18))-1)&lt;0.000000001,10,(1-((1+$A143)/(1+'Table G'!$B$18))^10)/(1-((1+$A143)/(1+'Table G'!$B$18))))+('Table G'!$B$14+'Table G'!$B$15)*(1+$A143)^(10-1)*(1+'Table G'!$B$26)/(('Table G'!$B$18-'Table G'!$B$26)*(1+'Table G'!$B$18)^10),"")</f>
        <v>89173.867297649005</v>
      </c>
      <c r="F143" s="17">
        <f>IFERROR(('Table G'!$B$14+'Table G'!$B$15)/(1+'Table G'!$B$18)*IF(ABS(((1+$A143)/(1+'Table G'!$B$18))-1)&lt;0.000000001,5,(1-((1+$A143)/(1+'Table G'!$B$18))^5)/(1-((1+$A143)/(1+'Table G'!$B$18))))+('Table G'!$B$14+'Table G'!$B$15)*(1+$A143)^(5-1)*(1+'Table G'!$B$27)/(('Table G'!$B$18-'Table G'!$B$27)*(1+'Table G'!$B$18)^5),"")</f>
        <v>88977.202297388969</v>
      </c>
      <c r="G143" s="17">
        <f>IFERROR(('Table G'!$B$14+'Table G'!$B$15)/(1+'Table G'!$B$18)*IF(ABS(((1+$A143)/(1+'Table G'!$B$18))-1)&lt;0.000000001,10,(1-((1+$A143)/(1+'Table G'!$B$18))^10)/(1-((1+$A143)/(1+'Table G'!$B$18))))+('Table G'!$B$14+'Table G'!$B$15)*(1+$A143)^(10-1)*(1+'Table G'!$B$27)/(('Table G'!$B$18-'Table G'!$B$27)*(1+'Table G'!$B$18)^10),"")</f>
        <v>93918.95297112604</v>
      </c>
    </row>
    <row r="144" spans="1:7" x14ac:dyDescent="0.2">
      <c r="A144" s="8">
        <f>-0.1+140*$B$2</f>
        <v>4.0000000000000008E-2</v>
      </c>
      <c r="B144" s="17">
        <f>IFERROR(('Table G'!$B$14+'Table G'!$B$15)/(1+'Table G'!$B$18)*IF(ABS(((1+$A144)/(1+'Table G'!$B$18))-1)&lt;0.000000001,5,(1-((1+$A144)/(1+'Table G'!$B$18))^5)/(1-((1+$A144)/(1+'Table G'!$B$18))))+('Table G'!$B$14+'Table G'!$B$15)*(1+$A144)^(5-1)*(1+'Table G'!$B$25)/(('Table G'!$B$18-'Table G'!$B$25)*(1+'Table G'!$B$18)^5),"")</f>
        <v>78552.924203738687</v>
      </c>
      <c r="C144" s="17">
        <f>IFERROR(('Table G'!$B$14+'Table G'!$B$15)/(1+'Table G'!$B$18)*IF(ABS(((1+$A144)/(1+'Table G'!$B$18))-1)&lt;0.000000001,10,(1-((1+$A144)/(1+'Table G'!$B$18))^10)/(1-((1+$A144)/(1+'Table G'!$B$18))))+('Table G'!$B$14+'Table G'!$B$15)*(1+$A144)^(10-1)*(1+'Table G'!$B$25)/(('Table G'!$B$18-'Table G'!$B$25)*(1+'Table G'!$B$18)^10),"")</f>
        <v>85696.259442847513</v>
      </c>
      <c r="D144" s="17">
        <f>IFERROR(('Table G'!$B$14+'Table G'!$B$15)/(1+'Table G'!$B$18)*IF(ABS(((1+$A144)/(1+'Table G'!$B$18))-1)&lt;0.000000001,5,(1-((1+$A144)/(1+'Table G'!$B$18))^5)/(1-((1+$A144)/(1+'Table G'!$B$18))))+('Table G'!$B$14+'Table G'!$B$15)*(1+$A144)^(5-1)*(1+'Table G'!$B$26)/(('Table G'!$B$18-'Table G'!$B$26)*(1+'Table G'!$B$18)^5),"")</f>
        <v>83486.385906877273</v>
      </c>
      <c r="E144" s="17">
        <f>IFERROR(('Table G'!$B$14+'Table G'!$B$15)/(1+'Table G'!$B$18)*IF(ABS(((1+$A144)/(1+'Table G'!$B$18))-1)&lt;0.000000001,10,(1-((1+$A144)/(1+'Table G'!$B$18))^10)/(1-((1+$A144)/(1+'Table G'!$B$18))))+('Table G'!$B$14+'Table G'!$B$15)*(1+$A144)^(10-1)*(1+'Table G'!$B$26)/(('Table G'!$B$18-'Table G'!$B$26)*(1+'Table G'!$B$18)^10),"")</f>
        <v>89772.934667023059</v>
      </c>
      <c r="F144" s="17">
        <f>IFERROR(('Table G'!$B$14+'Table G'!$B$15)/(1+'Table G'!$B$18)*IF(ABS(((1+$A144)/(1+'Table G'!$B$18))-1)&lt;0.000000001,5,(1-((1+$A144)/(1+'Table G'!$B$18))^5)/(1-((1+$A144)/(1+'Table G'!$B$18))))+('Table G'!$B$14+'Table G'!$B$15)*(1+$A144)^(5-1)*(1+'Table G'!$B$27)/(('Table G'!$B$18-'Table G'!$B$27)*(1+'Table G'!$B$18)^5),"")</f>
        <v>89278.669688038412</v>
      </c>
      <c r="G144" s="17">
        <f>IFERROR(('Table G'!$B$14+'Table G'!$B$15)/(1+'Table G'!$B$18)*IF(ABS(((1+$A144)/(1+'Table G'!$B$18))-1)&lt;0.000000001,10,(1-((1+$A144)/(1+'Table G'!$B$18))^10)/(1-((1+$A144)/(1+'Table G'!$B$18))))+('Table G'!$B$14+'Table G'!$B$15)*(1+$A144)^(10-1)*(1+'Table G'!$B$27)/(('Table G'!$B$18-'Table G'!$B$27)*(1+'Table G'!$B$18)^10),"")</f>
        <v>94559.281699377869</v>
      </c>
    </row>
    <row r="145" spans="1:7" x14ac:dyDescent="0.2">
      <c r="A145" s="8">
        <f>-0.1+141*$B$2</f>
        <v>4.1000000000000009E-2</v>
      </c>
      <c r="B145" s="17">
        <f>IFERROR(('Table G'!$B$14+'Table G'!$B$15)/(1+'Table G'!$B$18)*IF(ABS(((1+$A145)/(1+'Table G'!$B$18))-1)&lt;0.000000001,5,(1-((1+$A145)/(1+'Table G'!$B$18))^5)/(1-((1+$A145)/(1+'Table G'!$B$18))))+('Table G'!$B$14+'Table G'!$B$15)*(1+$A145)^(5-1)*(1+'Table G'!$B$25)/(('Table G'!$B$18-'Table G'!$B$25)*(1+'Table G'!$B$18)^5),"")</f>
        <v>78813.911611519987</v>
      </c>
      <c r="C145" s="17">
        <f>IFERROR(('Table G'!$B$14+'Table G'!$B$15)/(1+'Table G'!$B$18)*IF(ABS(((1+$A145)/(1+'Table G'!$B$18))-1)&lt;0.000000001,10,(1-((1+$A145)/(1+'Table G'!$B$18))^10)/(1-((1+$A145)/(1+'Table G'!$B$18))))+('Table G'!$B$14+'Table G'!$B$15)*(1+$A145)^(10-1)*(1+'Table G'!$B$25)/(('Table G'!$B$18-'Table G'!$B$25)*(1+'Table G'!$B$18)^10),"")</f>
        <v>86264.116435527074</v>
      </c>
      <c r="D145" s="17">
        <f>IFERROR(('Table G'!$B$14+'Table G'!$B$15)/(1+'Table G'!$B$18)*IF(ABS(((1+$A145)/(1+'Table G'!$B$18))-1)&lt;0.000000001,5,(1-((1+$A145)/(1+'Table G'!$B$18))^5)/(1-((1+$A145)/(1+'Table G'!$B$18))))+('Table G'!$B$14+'Table G'!$B$15)*(1+$A145)^(5-1)*(1+'Table G'!$B$26)/(('Table G'!$B$18-'Table G'!$B$26)*(1+'Table G'!$B$18)^5),"")</f>
        <v>83766.375552486483</v>
      </c>
      <c r="E145" s="17">
        <f>IFERROR(('Table G'!$B$14+'Table G'!$B$15)/(1+'Table G'!$B$18)*IF(ABS(((1+$A145)/(1+'Table G'!$B$18))-1)&lt;0.000000001,10,(1-((1+$A145)/(1+'Table G'!$B$18))^10)/(1-((1+$A145)/(1+'Table G'!$B$18))))+('Table G'!$B$14+'Table G'!$B$15)*(1+$A145)^(10-1)*(1+'Table G'!$B$26)/(('Table G'!$B$18-'Table G'!$B$26)*(1+'Table G'!$B$18)^10),"")</f>
        <v>90376.206572934534</v>
      </c>
      <c r="F145" s="17">
        <f>IFERROR(('Table G'!$B$14+'Table G'!$B$15)/(1+'Table G'!$B$18)*IF(ABS(((1+$A145)/(1+'Table G'!$B$18))-1)&lt;0.000000001,5,(1-((1+$A145)/(1+'Table G'!$B$18))^5)/(1-((1+$A145)/(1+'Table G'!$B$18))))+('Table G'!$B$14+'Table G'!$B$15)*(1+$A145)^(5-1)*(1+'Table G'!$B$27)/(('Table G'!$B$18-'Table G'!$B$27)*(1+'Table G'!$B$18)^5),"")</f>
        <v>89580.969500544525</v>
      </c>
      <c r="G145" s="17">
        <f>IFERROR(('Table G'!$B$14+'Table G'!$B$15)/(1+'Table G'!$B$18)*IF(ABS(((1+$A145)/(1+'Table G'!$B$18))-1)&lt;0.000000001,10,(1-((1+$A145)/(1+'Table G'!$B$18))^10)/(1-((1+$A145)/(1+'Table G'!$B$18))))+('Table G'!$B$14+'Table G'!$B$15)*(1+$A145)^(10-1)*(1+'Table G'!$B$27)/(('Table G'!$B$18-'Table G'!$B$27)*(1+'Table G'!$B$18)^10),"")</f>
        <v>95204.133582973969</v>
      </c>
    </row>
    <row r="146" spans="1:7" x14ac:dyDescent="0.2">
      <c r="A146" s="8">
        <f>-0.1+142*$B$2</f>
        <v>4.200000000000001E-2</v>
      </c>
      <c r="B146" s="17">
        <f>IFERROR(('Table G'!$B$14+'Table G'!$B$15)/(1+'Table G'!$B$18)*IF(ABS(((1+$A146)/(1+'Table G'!$B$18))-1)&lt;0.000000001,5,(1-((1+$A146)/(1+'Table G'!$B$18))^5)/(1-((1+$A146)/(1+'Table G'!$B$18))))+('Table G'!$B$14+'Table G'!$B$15)*(1+$A146)^(5-1)*(1+'Table G'!$B$25)/(('Table G'!$B$18-'Table G'!$B$25)*(1+'Table G'!$B$18)^5),"")</f>
        <v>79075.613779009829</v>
      </c>
      <c r="C146" s="17">
        <f>IFERROR(('Table G'!$B$14+'Table G'!$B$15)/(1+'Table G'!$B$18)*IF(ABS(((1+$A146)/(1+'Table G'!$B$18))-1)&lt;0.000000001,10,(1-((1+$A146)/(1+'Table G'!$B$18))^10)/(1-((1+$A146)/(1+'Table G'!$B$18))))+('Table G'!$B$14+'Table G'!$B$15)*(1+$A146)^(10-1)*(1+'Table G'!$B$25)/(('Table G'!$B$18-'Table G'!$B$25)*(1+'Table G'!$B$18)^10),"")</f>
        <v>86835.931777390186</v>
      </c>
      <c r="D146" s="17">
        <f>IFERROR(('Table G'!$B$14+'Table G'!$B$15)/(1+'Table G'!$B$18)*IF(ABS(((1+$A146)/(1+'Table G'!$B$18))-1)&lt;0.000000001,5,(1-((1+$A146)/(1+'Table G'!$B$18))^5)/(1-((1+$A146)/(1+'Table G'!$B$18))))+('Table G'!$B$14+'Table G'!$B$15)*(1+$A146)^(5-1)*(1+'Table G'!$B$26)/(('Table G'!$B$18-'Table G'!$B$26)*(1+'Table G'!$B$18)^5),"")</f>
        <v>84047.134798275263</v>
      </c>
      <c r="E146" s="17">
        <f>IFERROR(('Table G'!$B$14+'Table G'!$B$15)/(1+'Table G'!$B$18)*IF(ABS(((1+$A146)/(1+'Table G'!$B$18))-1)&lt;0.000000001,10,(1-((1+$A146)/(1+'Table G'!$B$18))^10)/(1-((1+$A146)/(1+'Table G'!$B$18))))+('Table G'!$B$14+'Table G'!$B$15)*(1+$A146)^(10-1)*(1+'Table G'!$B$26)/(('Table G'!$B$18-'Table G'!$B$26)*(1+'Table G'!$B$18)^10),"")</f>
        <v>90983.710037069977</v>
      </c>
      <c r="F146" s="17">
        <f>IFERROR(('Table G'!$B$14+'Table G'!$B$15)/(1+'Table G'!$B$18)*IF(ABS(((1+$A146)/(1+'Table G'!$B$18))-1)&lt;0.000000001,5,(1-((1+$A146)/(1+'Table G'!$B$18))^5)/(1-((1+$A146)/(1+'Table G'!$B$18))))+('Table G'!$B$14+'Table G'!$B$15)*(1+$A146)^(5-1)*(1+'Table G'!$B$27)/(('Table G'!$B$18-'Table G'!$B$27)*(1+'Table G'!$B$18)^5),"")</f>
        <v>89884.103300386647</v>
      </c>
      <c r="G146" s="17">
        <f>IFERROR(('Table G'!$B$14+'Table G'!$B$15)/(1+'Table G'!$B$18)*IF(ABS(((1+$A146)/(1+'Table G'!$B$18))-1)&lt;0.000000001,10,(1-((1+$A146)/(1+'Table G'!$B$18))^10)/(1-((1+$A146)/(1+'Table G'!$B$18))))+('Table G'!$B$14+'Table G'!$B$15)*(1+$A146)^(10-1)*(1+'Table G'!$B$27)/(('Table G'!$B$18-'Table G'!$B$27)*(1+'Table G'!$B$18)^10),"")</f>
        <v>95853.53779434468</v>
      </c>
    </row>
    <row r="147" spans="1:7" x14ac:dyDescent="0.2">
      <c r="A147" s="8">
        <f>-0.1+143*$B$2</f>
        <v>4.300000000000001E-2</v>
      </c>
      <c r="B147" s="17">
        <f>IFERROR(('Table G'!$B$14+'Table G'!$B$15)/(1+'Table G'!$B$18)*IF(ABS(((1+$A147)/(1+'Table G'!$B$18))-1)&lt;0.000000001,5,(1-((1+$A147)/(1+'Table G'!$B$18))^5)/(1-((1+$A147)/(1+'Table G'!$B$18))))+('Table G'!$B$14+'Table G'!$B$15)*(1+$A147)^(5-1)*(1+'Table G'!$B$25)/(('Table G'!$B$18-'Table G'!$B$25)*(1+'Table G'!$B$18)^5),"")</f>
        <v>79338.032043997606</v>
      </c>
      <c r="C147" s="17">
        <f>IFERROR(('Table G'!$B$14+'Table G'!$B$15)/(1+'Table G'!$B$18)*IF(ABS(((1+$A147)/(1+'Table G'!$B$18))-1)&lt;0.000000001,10,(1-((1+$A147)/(1+'Table G'!$B$18))^10)/(1-((1+$A147)/(1+'Table G'!$B$18))))+('Table G'!$B$14+'Table G'!$B$15)*(1+$A147)^(10-1)*(1+'Table G'!$B$25)/(('Table G'!$B$18-'Table G'!$B$25)*(1+'Table G'!$B$18)^10),"")</f>
        <v>87411.730799298588</v>
      </c>
      <c r="D147" s="17">
        <f>IFERROR(('Table G'!$B$14+'Table G'!$B$15)/(1+'Table G'!$B$18)*IF(ABS(((1+$A147)/(1+'Table G'!$B$18))-1)&lt;0.000000001,5,(1-((1+$A147)/(1+'Table G'!$B$18))^5)/(1-((1+$A147)/(1+'Table G'!$B$18))))+('Table G'!$B$14+'Table G'!$B$15)*(1+$A147)^(5-1)*(1+'Table G'!$B$26)/(('Table G'!$B$18-'Table G'!$B$26)*(1+'Table G'!$B$18)^5),"")</f>
        <v>84328.66508744465</v>
      </c>
      <c r="E147" s="17">
        <f>IFERROR(('Table G'!$B$14+'Table G'!$B$15)/(1+'Table G'!$B$18)*IF(ABS(((1+$A147)/(1+'Table G'!$B$18))-1)&lt;0.000000001,10,(1-((1+$A147)/(1+'Table G'!$B$18))^10)/(1-((1+$A147)/(1+'Table G'!$B$18))))+('Table G'!$B$14+'Table G'!$B$15)*(1+$A147)^(10-1)*(1+'Table G'!$B$26)/(('Table G'!$B$18-'Table G'!$B$26)*(1+'Table G'!$B$18)^10),"")</f>
        <v>91595.472232732776</v>
      </c>
      <c r="F147" s="17">
        <f>IFERROR(('Table G'!$B$14+'Table G'!$B$15)/(1+'Table G'!$B$18)*IF(ABS(((1+$A147)/(1+'Table G'!$B$18))-1)&lt;0.000000001,5,(1-((1+$A147)/(1+'Table G'!$B$18))^5)/(1-((1+$A147)/(1+'Table G'!$B$18))))+('Table G'!$B$14+'Table G'!$B$15)*(1+$A147)^(5-1)*(1+'Table G'!$B$27)/(('Table G'!$B$18-'Table G'!$B$27)*(1+'Table G'!$B$18)^5),"")</f>
        <v>90188.072654527787</v>
      </c>
      <c r="G147" s="17">
        <f>IFERROR(('Table G'!$B$14+'Table G'!$B$15)/(1+'Table G'!$B$18)*IF(ABS(((1+$A147)/(1+'Table G'!$B$18))-1)&lt;0.000000001,10,(1-((1+$A147)/(1+'Table G'!$B$18))^10)/(1-((1+$A147)/(1+'Table G'!$B$18))))+('Table G'!$B$14+'Table G'!$B$15)*(1+$A147)^(10-1)*(1+'Table G'!$B$27)/(('Table G'!$B$18-'Table G'!$B$27)*(1+'Table G'!$B$18)^10),"")</f>
        <v>96507.523669969189</v>
      </c>
    </row>
    <row r="148" spans="1:7" x14ac:dyDescent="0.2">
      <c r="A148" s="8">
        <f>-0.1+144*$B$2</f>
        <v>4.4000000000000011E-2</v>
      </c>
      <c r="B148" s="17">
        <f>IFERROR(('Table G'!$B$14+'Table G'!$B$15)/(1+'Table G'!$B$18)*IF(ABS(((1+$A148)/(1+'Table G'!$B$18))-1)&lt;0.000000001,5,(1-((1+$A148)/(1+'Table G'!$B$18))^5)/(1-((1+$A148)/(1+'Table G'!$B$18))))+('Table G'!$B$14+'Table G'!$B$15)*(1+$A148)^(5-1)*(1+'Table G'!$B$25)/(('Table G'!$B$18-'Table G'!$B$25)*(1+'Table G'!$B$18)^5),"")</f>
        <v>79601.167745537183</v>
      </c>
      <c r="C148" s="17">
        <f>IFERROR(('Table G'!$B$14+'Table G'!$B$15)/(1+'Table G'!$B$18)*IF(ABS(((1+$A148)/(1+'Table G'!$B$18))-1)&lt;0.000000001,10,(1-((1+$A148)/(1+'Table G'!$B$18))^10)/(1-((1+$A148)/(1+'Table G'!$B$18))))+('Table G'!$B$14+'Table G'!$B$15)*(1+$A148)^(10-1)*(1+'Table G'!$B$25)/(('Table G'!$B$18-'Table G'!$B$25)*(1+'Table G'!$B$18)^10),"")</f>
        <v>87991.538973808201</v>
      </c>
      <c r="D148" s="17">
        <f>IFERROR(('Table G'!$B$14+'Table G'!$B$15)/(1+'Table G'!$B$18)*IF(ABS(((1+$A148)/(1+'Table G'!$B$18))-1)&lt;0.000000001,5,(1-((1+$A148)/(1+'Table G'!$B$18))^5)/(1-((1+$A148)/(1+'Table G'!$B$18))))+('Table G'!$B$14+'Table G'!$B$15)*(1+$A148)^(5-1)*(1+'Table G'!$B$26)/(('Table G'!$B$18-'Table G'!$B$26)*(1+'Table G'!$B$18)^5),"")</f>
        <v>84610.967864561477</v>
      </c>
      <c r="E148" s="17">
        <f>IFERROR(('Table G'!$B$14+'Table G'!$B$15)/(1+'Table G'!$B$18)*IF(ABS(((1+$A148)/(1+'Table G'!$B$18))-1)&lt;0.000000001,10,(1-((1+$A148)/(1+'Table G'!$B$18))^10)/(1-((1+$A148)/(1+'Table G'!$B$18))))+('Table G'!$B$14+'Table G'!$B$15)*(1+$A148)^(10-1)*(1+'Table G'!$B$26)/(('Table G'!$B$18-'Table G'!$B$26)*(1+'Table G'!$B$18)^10),"")</f>
        <v>92211.520485560177</v>
      </c>
      <c r="F148" s="17">
        <f>IFERROR(('Table G'!$B$14+'Table G'!$B$15)/(1+'Table G'!$B$18)*IF(ABS(((1+$A148)/(1+'Table G'!$B$18))-1)&lt;0.000000001,5,(1-((1+$A148)/(1+'Table G'!$B$18))^5)/(1-((1+$A148)/(1+'Table G'!$B$18))))+('Table G'!$B$14+'Table G'!$B$15)*(1+$A148)^(5-1)*(1+'Table G'!$B$27)/(('Table G'!$B$18-'Table G'!$B$27)*(1+'Table G'!$B$18)^5),"")</f>
        <v>90492.879131415466</v>
      </c>
      <c r="G148" s="17">
        <f>IFERROR(('Table G'!$B$14+'Table G'!$B$15)/(1+'Table G'!$B$18)*IF(ABS(((1+$A148)/(1+'Table G'!$B$18))-1)&lt;0.000000001,10,(1-((1+$A148)/(1+'Table G'!$B$18))^10)/(1-((1+$A148)/(1+'Table G'!$B$18))))+('Table G'!$B$14+'Table G'!$B$15)*(1+$A148)^(10-1)*(1+'Table G'!$B$27)/(('Table G'!$B$18-'Table G'!$B$27)*(1+'Table G'!$B$18)^10),"")</f>
        <v>97166.120711152354</v>
      </c>
    </row>
    <row r="149" spans="1:7" x14ac:dyDescent="0.2">
      <c r="A149" s="8">
        <f>-0.1+145*$B$2</f>
        <v>4.4999999999999984E-2</v>
      </c>
      <c r="B149" s="17">
        <f>IFERROR(('Table G'!$B$14+'Table G'!$B$15)/(1+'Table G'!$B$18)*IF(ABS(((1+$A149)/(1+'Table G'!$B$18))-1)&lt;0.000000001,5,(1-((1+$A149)/(1+'Table G'!$B$18))^5)/(1-((1+$A149)/(1+'Table G'!$B$18))))+('Table G'!$B$14+'Table G'!$B$15)*(1+$A149)^(5-1)*(1+'Table G'!$B$25)/(('Table G'!$B$18-'Table G'!$B$25)*(1+'Table G'!$B$18)^5),"")</f>
        <v>79865.022223945998</v>
      </c>
      <c r="C149" s="17">
        <f>IFERROR(('Table G'!$B$14+'Table G'!$B$15)/(1+'Table G'!$B$18)*IF(ABS(((1+$A149)/(1+'Table G'!$B$18))-1)&lt;0.000000001,10,(1-((1+$A149)/(1+'Table G'!$B$18))^10)/(1-((1+$A149)/(1+'Table G'!$B$18))))+('Table G'!$B$14+'Table G'!$B$15)*(1+$A149)^(10-1)*(1+'Table G'!$B$25)/(('Table G'!$B$18-'Table G'!$B$25)*(1+'Table G'!$B$18)^10),"")</f>
        <v>88575.381915834107</v>
      </c>
      <c r="D149" s="17">
        <f>IFERROR(('Table G'!$B$14+'Table G'!$B$15)/(1+'Table G'!$B$18)*IF(ABS(((1+$A149)/(1+'Table G'!$B$18))-1)&lt;0.000000001,5,(1-((1+$A149)/(1+'Table G'!$B$18))^5)/(1-((1+$A149)/(1+'Table G'!$B$18))))+('Table G'!$B$14+'Table G'!$B$15)*(1+$A149)^(5-1)*(1+'Table G'!$B$26)/(('Table G'!$B$18-'Table G'!$B$26)*(1+'Table G'!$B$18)^5),"")</f>
        <v>84894.044575557316</v>
      </c>
      <c r="E149" s="17">
        <f>IFERROR(('Table G'!$B$14+'Table G'!$B$15)/(1+'Table G'!$B$18)*IF(ABS(((1+$A149)/(1+'Table G'!$B$18))-1)&lt;0.000000001,10,(1-((1+$A149)/(1+'Table G'!$B$18))^10)/(1-((1+$A149)/(1+'Table G'!$B$18))))+('Table G'!$B$14+'Table G'!$B$15)*(1+$A149)^(10-1)*(1+'Table G'!$B$26)/(('Table G'!$B$18-'Table G'!$B$26)*(1+'Table G'!$B$18)^10),"")</f>
        <v>92831.882274239353</v>
      </c>
      <c r="F149" s="17">
        <f>IFERROR(('Table G'!$B$14+'Table G'!$B$15)/(1+'Table G'!$B$18)*IF(ABS(((1+$A149)/(1+'Table G'!$B$18))-1)&lt;0.000000001,5,(1-((1+$A149)/(1+'Table G'!$B$18))^5)/(1-((1+$A149)/(1+'Table G'!$B$18))))+('Table G'!$B$14+'Table G'!$B$15)*(1+$A149)^(5-1)*(1+'Table G'!$B$27)/(('Table G'!$B$18-'Table G'!$B$27)*(1+'Table G'!$B$18)^5),"")</f>
        <v>90798.524300980833</v>
      </c>
      <c r="G149" s="17">
        <f>IFERROR(('Table G'!$B$14+'Table G'!$B$15)/(1+'Table G'!$B$18)*IF(ABS(((1+$A149)/(1+'Table G'!$B$18))-1)&lt;0.000000001,10,(1-((1+$A149)/(1+'Table G'!$B$18))^10)/(1-((1+$A149)/(1+'Table G'!$B$18))))+('Table G'!$B$14+'Table G'!$B$15)*(1+$A149)^(10-1)*(1+'Table G'!$B$27)/(('Table G'!$B$18-'Table G'!$B$27)*(1+'Table G'!$B$18)^10),"")</f>
        <v>97829.358584800822</v>
      </c>
    </row>
    <row r="150" spans="1:7" x14ac:dyDescent="0.2">
      <c r="A150" s="8">
        <f>-0.1+146*$B$2</f>
        <v>4.5999999999999985E-2</v>
      </c>
      <c r="B150" s="17">
        <f>IFERROR(('Table G'!$B$14+'Table G'!$B$15)/(1+'Table G'!$B$18)*IF(ABS(((1+$A150)/(1+'Table G'!$B$18))-1)&lt;0.000000001,5,(1-((1+$A150)/(1+'Table G'!$B$18))^5)/(1-((1+$A150)/(1+'Table G'!$B$18))))+('Table G'!$B$14+'Table G'!$B$15)*(1+$A150)^(5-1)*(1+'Table G'!$B$25)/(('Table G'!$B$18-'Table G'!$B$25)*(1+'Table G'!$B$18)^5),"")</f>
        <v>80129.596820805848</v>
      </c>
      <c r="C150" s="17">
        <f>IFERROR(('Table G'!$B$14+'Table G'!$B$15)/(1+'Table G'!$B$18)*IF(ABS(((1+$A150)/(1+'Table G'!$B$18))-1)&lt;0.000000001,10,(1-((1+$A150)/(1+'Table G'!$B$18))^10)/(1-((1+$A150)/(1+'Table G'!$B$18))))+('Table G'!$B$14+'Table G'!$B$15)*(1+$A150)^(10-1)*(1+'Table G'!$B$25)/(('Table G'!$B$18-'Table G'!$B$25)*(1+'Table G'!$B$18)^10),"")</f>
        <v>89163.285383321563</v>
      </c>
      <c r="D150" s="17">
        <f>IFERROR(('Table G'!$B$14+'Table G'!$B$15)/(1+'Table G'!$B$18)*IF(ABS(((1+$A150)/(1+'Table G'!$B$18))-1)&lt;0.000000001,5,(1-((1+$A150)/(1+'Table G'!$B$18))^5)/(1-((1+$A150)/(1+'Table G'!$B$18))))+('Table G'!$B$14+'Table G'!$B$15)*(1+$A150)^(5-1)*(1+'Table G'!$B$26)/(('Table G'!$B$18-'Table G'!$B$26)*(1+'Table G'!$B$18)^5),"")</f>
        <v>85177.896667729379</v>
      </c>
      <c r="E150" s="17">
        <f>IFERROR(('Table G'!$B$14+'Table G'!$B$15)/(1+'Table G'!$B$18)*IF(ABS(((1+$A150)/(1+'Table G'!$B$18))-1)&lt;0.000000001,10,(1-((1+$A150)/(1+'Table G'!$B$18))^10)/(1-((1+$A150)/(1+'Table G'!$B$18))))+('Table G'!$B$14+'Table G'!$B$15)*(1+$A150)^(10-1)*(1+'Table G'!$B$26)/(('Table G'!$B$18-'Table G'!$B$26)*(1+'Table G'!$B$18)^10),"")</f>
        <v>93456.58523122991</v>
      </c>
      <c r="F150" s="17">
        <f>IFERROR(('Table G'!$B$14+'Table G'!$B$15)/(1+'Table G'!$B$18)*IF(ABS(((1+$A150)/(1+'Table G'!$B$18))-1)&lt;0.000000001,5,(1-((1+$A150)/(1+'Table G'!$B$18))^5)/(1-((1+$A150)/(1+'Table G'!$B$18))))+('Table G'!$B$14+'Table G'!$B$15)*(1+$A150)^(5-1)*(1+'Table G'!$B$27)/(('Table G'!$B$18-'Table G'!$B$27)*(1+'Table G'!$B$18)^5),"")</f>
        <v>91105.009734639505</v>
      </c>
      <c r="G150" s="17">
        <f>IFERROR(('Table G'!$B$14+'Table G'!$B$15)/(1+'Table G'!$B$18)*IF(ABS(((1+$A150)/(1+'Table G'!$B$18))-1)&lt;0.000000001,10,(1-((1+$A150)/(1+'Table G'!$B$18))^10)/(1-((1+$A150)/(1+'Table G'!$B$18))))+('Table G'!$B$14+'Table G'!$B$15)*(1+$A150)^(10-1)*(1+'Table G'!$B$27)/(('Table G'!$B$18-'Table G'!$B$27)*(1+'Table G'!$B$18)^10),"")</f>
        <v>98497.267124205886</v>
      </c>
    </row>
    <row r="151" spans="1:7" x14ac:dyDescent="0.2">
      <c r="A151" s="8">
        <f>-0.1+147*$B$2</f>
        <v>4.6999999999999986E-2</v>
      </c>
      <c r="B151" s="17">
        <f>IFERROR(('Table G'!$B$14+'Table G'!$B$15)/(1+'Table G'!$B$18)*IF(ABS(((1+$A151)/(1+'Table G'!$B$18))-1)&lt;0.000000001,5,(1-((1+$A151)/(1+'Table G'!$B$18))^5)/(1-((1+$A151)/(1+'Table G'!$B$18))))+('Table G'!$B$14+'Table G'!$B$15)*(1+$A151)^(5-1)*(1+'Table G'!$B$25)/(('Table G'!$B$18-'Table G'!$B$25)*(1+'Table G'!$B$18)^5),"")</f>
        <v>80394.892878962302</v>
      </c>
      <c r="C151" s="17">
        <f>IFERROR(('Table G'!$B$14+'Table G'!$B$15)/(1+'Table G'!$B$18)*IF(ABS(((1+$A151)/(1+'Table G'!$B$18))-1)&lt;0.000000001,10,(1-((1+$A151)/(1+'Table G'!$B$18))^10)/(1-((1+$A151)/(1+'Table G'!$B$18))))+('Table G'!$B$14+'Table G'!$B$15)*(1+$A151)^(10-1)*(1+'Table G'!$B$25)/(('Table G'!$B$18-'Table G'!$B$25)*(1+'Table G'!$B$18)^10),"")</f>
        <v>89755.275277916444</v>
      </c>
      <c r="D151" s="17">
        <f>IFERROR(('Table G'!$B$14+'Table G'!$B$15)/(1+'Table G'!$B$18)*IF(ABS(((1+$A151)/(1+'Table G'!$B$18))-1)&lt;0.000000001,5,(1-((1+$A151)/(1+'Table G'!$B$18))^5)/(1-((1+$A151)/(1+'Table G'!$B$18))))+('Table G'!$B$14+'Table G'!$B$15)*(1+$A151)^(5-1)*(1+'Table G'!$B$26)/(('Table G'!$B$18-'Table G'!$B$26)*(1+'Table G'!$B$18)^5),"")</f>
        <v>85462.525589739729</v>
      </c>
      <c r="E151" s="17">
        <f>IFERROR(('Table G'!$B$14+'Table G'!$B$15)/(1+'Table G'!$B$18)*IF(ABS(((1+$A151)/(1+'Table G'!$B$18))-1)&lt;0.000000001,10,(1-((1+$A151)/(1+'Table G'!$B$18))^10)/(1-((1+$A151)/(1+'Table G'!$B$18))))+('Table G'!$B$14+'Table G'!$B$15)*(1+$A151)^(10-1)*(1+'Table G'!$B$26)/(('Table G'!$B$18-'Table G'!$B$26)*(1+'Table G'!$B$18)^10),"")</f>
        <v>94085.657143485674</v>
      </c>
      <c r="F151" s="17">
        <f>IFERROR(('Table G'!$B$14+'Table G'!$B$15)/(1+'Table G'!$B$18)*IF(ABS(((1+$A151)/(1+'Table G'!$B$18))-1)&lt;0.000000001,5,(1-((1+$A151)/(1+'Table G'!$B$18))^5)/(1-((1+$A151)/(1+'Table G'!$B$18))))+('Table G'!$B$14+'Table G'!$B$15)*(1+$A151)^(5-1)*(1+'Table G'!$B$27)/(('Table G'!$B$18-'Table G'!$B$27)*(1+'Table G'!$B$18)^5),"")</f>
        <v>91412.337005290756</v>
      </c>
      <c r="G151" s="17">
        <f>IFERROR(('Table G'!$B$14+'Table G'!$B$15)/(1+'Table G'!$B$18)*IF(ABS(((1+$A151)/(1+'Table G'!$B$18))-1)&lt;0.000000001,10,(1-((1+$A151)/(1+'Table G'!$B$18))^10)/(1-((1+$A151)/(1+'Table G'!$B$18))))+('Table G'!$B$14+'Table G'!$B$15)*(1+$A151)^(10-1)*(1+'Table G'!$B$27)/(('Table G'!$B$18-'Table G'!$B$27)*(1+'Table G'!$B$18)^10),"")</f>
        <v>99169.876329825696</v>
      </c>
    </row>
    <row r="152" spans="1:7" x14ac:dyDescent="0.2">
      <c r="A152" s="8">
        <f>-0.1+148*$B$2</f>
        <v>4.7999999999999987E-2</v>
      </c>
      <c r="B152" s="17">
        <f>IFERROR(('Table G'!$B$14+'Table G'!$B$15)/(1+'Table G'!$B$18)*IF(ABS(((1+$A152)/(1+'Table G'!$B$18))-1)&lt;0.000000001,5,(1-((1+$A152)/(1+'Table G'!$B$18))^5)/(1-((1+$A152)/(1+'Table G'!$B$18))))+('Table G'!$B$14+'Table G'!$B$15)*(1+$A152)^(5-1)*(1+'Table G'!$B$25)/(('Table G'!$B$18-'Table G'!$B$25)*(1+'Table G'!$B$18)^5),"")</f>
        <v>80660.911742525161</v>
      </c>
      <c r="C152" s="17">
        <f>IFERROR(('Table G'!$B$14+'Table G'!$B$15)/(1+'Table G'!$B$18)*IF(ABS(((1+$A152)/(1+'Table G'!$B$18))-1)&lt;0.000000001,10,(1-((1+$A152)/(1+'Table G'!$B$18))^10)/(1-((1+$A152)/(1+'Table G'!$B$18))))+('Table G'!$B$14+'Table G'!$B$15)*(1+$A152)^(10-1)*(1+'Table G'!$B$25)/(('Table G'!$B$18-'Table G'!$B$25)*(1+'Table G'!$B$18)^10),"")</f>
        <v>90351.377645640925</v>
      </c>
      <c r="D152" s="17">
        <f>IFERROR(('Table G'!$B$14+'Table G'!$B$15)/(1+'Table G'!$B$18)*IF(ABS(((1+$A152)/(1+'Table G'!$B$18))-1)&lt;0.000000001,5,(1-((1+$A152)/(1+'Table G'!$B$18))^5)/(1-((1+$A152)/(1+'Table G'!$B$18))))+('Table G'!$B$14+'Table G'!$B$15)*(1+$A152)^(5-1)*(1+'Table G'!$B$26)/(('Table G'!$B$18-'Table G'!$B$26)*(1+'Table G'!$B$18)^5),"")</f>
        <v>85747.932791616025</v>
      </c>
      <c r="E152" s="17">
        <f>IFERROR(('Table G'!$B$14+'Table G'!$B$15)/(1+'Table G'!$B$18)*IF(ABS(((1+$A152)/(1+'Table G'!$B$18))-1)&lt;0.000000001,10,(1-((1+$A152)/(1+'Table G'!$B$18))^10)/(1-((1+$A152)/(1+'Table G'!$B$18))))+('Table G'!$B$14+'Table G'!$B$15)*(1+$A152)^(10-1)*(1+'Table G'!$B$26)/(('Table G'!$B$18-'Table G'!$B$26)*(1+'Table G'!$B$18)^10),"")</f>
        <v>94719.125953182287</v>
      </c>
      <c r="F152" s="17">
        <f>IFERROR(('Table G'!$B$14+'Table G'!$B$15)/(1+'Table G'!$B$18)*IF(ABS(((1+$A152)/(1+'Table G'!$B$18))-1)&lt;0.000000001,5,(1-((1+$A152)/(1+'Table G'!$B$18))^5)/(1-((1+$A152)/(1+'Table G'!$B$18))))+('Table G'!$B$14+'Table G'!$B$15)*(1+$A152)^(5-1)*(1+'Table G'!$B$27)/(('Table G'!$B$18-'Table G'!$B$27)*(1+'Table G'!$B$18)^5),"")</f>
        <v>91720.507687318313</v>
      </c>
      <c r="G152" s="17">
        <f>IFERROR(('Table G'!$B$14+'Table G'!$B$15)/(1+'Table G'!$B$18)*IF(ABS(((1+$A152)/(1+'Table G'!$B$18))-1)&lt;0.000000001,10,(1-((1+$A152)/(1+'Table G'!$B$18))^10)/(1-((1+$A152)/(1+'Table G'!$B$18))))+('Table G'!$B$14+'Table G'!$B$15)*(1+$A152)^(10-1)*(1+'Table G'!$B$27)/(('Table G'!$B$18-'Table G'!$B$27)*(1+'Table G'!$B$18)^10),"")</f>
        <v>99847.2163700737</v>
      </c>
    </row>
    <row r="153" spans="1:7" x14ac:dyDescent="0.2">
      <c r="A153" s="8">
        <f>-0.1+149*$B$2</f>
        <v>4.8999999999999988E-2</v>
      </c>
      <c r="B153" s="17">
        <f>IFERROR(('Table G'!$B$14+'Table G'!$B$15)/(1+'Table G'!$B$18)*IF(ABS(((1+$A153)/(1+'Table G'!$B$18))-1)&lt;0.000000001,5,(1-((1+$A153)/(1+'Table G'!$B$18))^5)/(1-((1+$A153)/(1+'Table G'!$B$18))))+('Table G'!$B$14+'Table G'!$B$15)*(1+$A153)^(5-1)*(1+'Table G'!$B$25)/(('Table G'!$B$18-'Table G'!$B$25)*(1+'Table G'!$B$18)^5),"")</f>
        <v>80927.654756867967</v>
      </c>
      <c r="C153" s="17">
        <f>IFERROR(('Table G'!$B$14+'Table G'!$B$15)/(1+'Table G'!$B$18)*IF(ABS(((1+$A153)/(1+'Table G'!$B$18))-1)&lt;0.000000001,10,(1-((1+$A153)/(1+'Table G'!$B$18))^10)/(1-((1+$A153)/(1+'Table G'!$B$18))))+('Table G'!$B$14+'Table G'!$B$15)*(1+$A153)^(10-1)*(1+'Table G'!$B$25)/(('Table G'!$B$18-'Table G'!$B$25)*(1+'Table G'!$B$18)^10),"")</f>
        <v>90951.618677569088</v>
      </c>
      <c r="D153" s="17">
        <f>IFERROR(('Table G'!$B$14+'Table G'!$B$15)/(1+'Table G'!$B$18)*IF(ABS(((1+$A153)/(1+'Table G'!$B$18))-1)&lt;0.000000001,5,(1-((1+$A153)/(1+'Table G'!$B$18))^5)/(1-((1+$A153)/(1+'Table G'!$B$18))))+('Table G'!$B$14+'Table G'!$B$15)*(1+$A153)^(5-1)*(1+'Table G'!$B$26)/(('Table G'!$B$18-'Table G'!$B$26)*(1+'Table G'!$B$18)^5),"")</f>
        <v>86034.119724750723</v>
      </c>
      <c r="E153" s="17">
        <f>IFERROR(('Table G'!$B$14+'Table G'!$B$15)/(1+'Table G'!$B$18)*IF(ABS(((1+$A153)/(1+'Table G'!$B$18))-1)&lt;0.000000001,10,(1-((1+$A153)/(1+'Table G'!$B$18))^10)/(1-((1+$A153)/(1+'Table G'!$B$18))))+('Table G'!$B$14+'Table G'!$B$15)*(1+$A153)^(10-1)*(1+'Table G'!$B$26)/(('Table G'!$B$18-'Table G'!$B$26)*(1+'Table G'!$B$18)^10),"")</f>
        <v>95357.019758444658</v>
      </c>
      <c r="F153" s="17">
        <f>IFERROR(('Table G'!$B$14+'Table G'!$B$15)/(1+'Table G'!$B$18)*IF(ABS(((1+$A153)/(1+'Table G'!$B$18))-1)&lt;0.000000001,5,(1-((1+$A153)/(1+'Table G'!$B$18))^5)/(1-((1+$A153)/(1+'Table G'!$B$18))))+('Table G'!$B$14+'Table G'!$B$15)*(1+$A153)^(5-1)*(1+'Table G'!$B$27)/(('Table G'!$B$18-'Table G'!$B$27)*(1+'Table G'!$B$18)^5),"")</f>
        <v>92029.523356589547</v>
      </c>
      <c r="G153" s="17">
        <f>IFERROR(('Table G'!$B$14+'Table G'!$B$15)/(1+'Table G'!$B$18)*IF(ABS(((1+$A153)/(1+'Table G'!$B$18))-1)&lt;0.000000001,10,(1-((1+$A153)/(1+'Table G'!$B$18))^10)/(1-((1+$A153)/(1+'Table G'!$B$18))))+('Table G'!$B$14+'Table G'!$B$15)*(1+$A153)^(10-1)*(1+'Table G'!$B$27)/(('Table G'!$B$18-'Table G'!$B$27)*(1+'Table G'!$B$18)^10),"")</f>
        <v>100529.317582107</v>
      </c>
    </row>
    <row r="154" spans="1:7" x14ac:dyDescent="0.2">
      <c r="A154" s="8">
        <f>-0.1+150*$B$2</f>
        <v>4.9999999999999989E-2</v>
      </c>
      <c r="B154" s="17">
        <f>IFERROR(('Table G'!$B$14+'Table G'!$B$15)/(1+'Table G'!$B$18)*IF(ABS(((1+$A154)/(1+'Table G'!$B$18))-1)&lt;0.000000001,5,(1-((1+$A154)/(1+'Table G'!$B$18))^5)/(1-((1+$A154)/(1+'Table G'!$B$18))))+('Table G'!$B$14+'Table G'!$B$15)*(1+$A154)^(5-1)*(1+'Table G'!$B$25)/(('Table G'!$B$18-'Table G'!$B$25)*(1+'Table G'!$B$18)^5),"")</f>
        <v>81195.123268628638</v>
      </c>
      <c r="C154" s="17">
        <f>IFERROR(('Table G'!$B$14+'Table G'!$B$15)/(1+'Table G'!$B$18)*IF(ABS(((1+$A154)/(1+'Table G'!$B$18))-1)&lt;0.000000001,10,(1-((1+$A154)/(1+'Table G'!$B$18))^10)/(1-((1+$A154)/(1+'Table G'!$B$18))))+('Table G'!$B$14+'Table G'!$B$15)*(1+$A154)^(10-1)*(1+'Table G'!$B$25)/(('Table G'!$B$18-'Table G'!$B$25)*(1+'Table G'!$B$18)^10),"")</f>
        <v>91556.024710507976</v>
      </c>
      <c r="D154" s="17">
        <f>IFERROR(('Table G'!$B$14+'Table G'!$B$15)/(1+'Table G'!$B$18)*IF(ABS(((1+$A154)/(1+'Table G'!$B$18))-1)&lt;0.000000001,5,(1-((1+$A154)/(1+'Table G'!$B$18))^5)/(1-((1+$A154)/(1+'Table G'!$B$18))))+('Table G'!$B$14+'Table G'!$B$15)*(1+$A154)^(5-1)*(1+'Table G'!$B$26)/(('Table G'!$B$18-'Table G'!$B$26)*(1+'Table G'!$B$18)^5),"")</f>
        <v>86321.087841902015</v>
      </c>
      <c r="E154" s="17">
        <f>IFERROR(('Table G'!$B$14+'Table G'!$B$15)/(1+'Table G'!$B$18)*IF(ABS(((1+$A154)/(1+'Table G'!$B$18))-1)&lt;0.000000001,10,(1-((1+$A154)/(1+'Table G'!$B$18))^10)/(1-((1+$A154)/(1+'Table G'!$B$18))))+('Table G'!$B$14+'Table G'!$B$15)*(1+$A154)^(10-1)*(1+'Table G'!$B$26)/(('Table G'!$B$18-'Table G'!$B$26)*(1+'Table G'!$B$18)^10),"")</f>
        <v>95999.366814080189</v>
      </c>
      <c r="F154" s="17">
        <f>IFERROR(('Table G'!$B$14+'Table G'!$B$15)/(1+'Table G'!$B$18)*IF(ABS(((1+$A154)/(1+'Table G'!$B$18))-1)&lt;0.000000001,5,(1-((1+$A154)/(1+'Table G'!$B$18))^5)/(1-((1+$A154)/(1+'Table G'!$B$18))))+('Table G'!$B$14+'Table G'!$B$15)*(1+$A154)^(5-1)*(1+'Table G'!$B$27)/(('Table G'!$B$18-'Table G'!$B$27)*(1+'Table G'!$B$18)^5),"")</f>
        <v>92339.38559045631</v>
      </c>
      <c r="G154" s="17">
        <f>IFERROR(('Table G'!$B$14+'Table G'!$B$15)/(1+'Table G'!$B$18)*IF(ABS(((1+$A154)/(1+'Table G'!$B$18))-1)&lt;0.000000001,10,(1-((1+$A154)/(1+'Table G'!$B$18))^10)/(1-((1+$A154)/(1+'Table G'!$B$18))))+('Table G'!$B$14+'Table G'!$B$15)*(1+$A154)^(10-1)*(1+'Table G'!$B$27)/(('Table G'!$B$18-'Table G'!$B$27)*(1+'Table G'!$B$18)^10),"")</f>
        <v>101216.21047262088</v>
      </c>
    </row>
    <row r="155" spans="1:7" x14ac:dyDescent="0.2">
      <c r="A155" s="8">
        <f>-0.1+151*$B$2</f>
        <v>5.099999999999999E-2</v>
      </c>
      <c r="B155" s="17">
        <f>IFERROR(('Table G'!$B$14+'Table G'!$B$15)/(1+'Table G'!$B$18)*IF(ABS(((1+$A155)/(1+'Table G'!$B$18))-1)&lt;0.000000001,5,(1-((1+$A155)/(1+'Table G'!$B$18))^5)/(1-((1+$A155)/(1+'Table G'!$B$18))))+('Table G'!$B$14+'Table G'!$B$15)*(1+$A155)^(5-1)*(1+'Table G'!$B$25)/(('Table G'!$B$18-'Table G'!$B$25)*(1+'Table G'!$B$18)^5),"")</f>
        <v>81463.318625708809</v>
      </c>
      <c r="C155" s="17">
        <f>IFERROR(('Table G'!$B$14+'Table G'!$B$15)/(1+'Table G'!$B$18)*IF(ABS(((1+$A155)/(1+'Table G'!$B$18))-1)&lt;0.000000001,10,(1-((1+$A155)/(1+'Table G'!$B$18))^10)/(1-((1+$A155)/(1+'Table G'!$B$18))))+('Table G'!$B$14+'Table G'!$B$15)*(1+$A155)^(10-1)*(1+'Table G'!$B$25)/(('Table G'!$B$18-'Table G'!$B$25)*(1+'Table G'!$B$18)^10),"")</f>
        <v>92164.622227678206</v>
      </c>
      <c r="D155" s="17">
        <f>IFERROR(('Table G'!$B$14+'Table G'!$B$15)/(1+'Table G'!$B$18)*IF(ABS(((1+$A155)/(1+'Table G'!$B$18))-1)&lt;0.000000001,5,(1-((1+$A155)/(1+'Table G'!$B$18))^5)/(1-((1+$A155)/(1+'Table G'!$B$18))))+('Table G'!$B$14+'Table G'!$B$15)*(1+$A155)^(5-1)*(1+'Table G'!$B$26)/(('Table G'!$B$18-'Table G'!$B$26)*(1+'Table G'!$B$18)^5),"")</f>
        <v>86608.838597192895</v>
      </c>
      <c r="E155" s="17">
        <f>IFERROR(('Table G'!$B$14+'Table G'!$B$15)/(1+'Table G'!$B$18)*IF(ABS(((1+$A155)/(1+'Table G'!$B$18))-1)&lt;0.000000001,10,(1-((1+$A155)/(1+'Table G'!$B$18))^10)/(1-((1+$A155)/(1+'Table G'!$B$18))))+('Table G'!$B$14+'Table G'!$B$15)*(1+$A155)^(10-1)*(1+'Table G'!$B$26)/(('Table G'!$B$18-'Table G'!$B$26)*(1+'Table G'!$B$18)^10),"")</f>
        <v>96646.195532311802</v>
      </c>
      <c r="F155" s="17">
        <f>IFERROR(('Table G'!$B$14+'Table G'!$B$15)/(1+'Table G'!$B$18)*IF(ABS(((1+$A155)/(1+'Table G'!$B$18))-1)&lt;0.000000001,5,(1-((1+$A155)/(1+'Table G'!$B$18))^5)/(1-((1+$A155)/(1+'Table G'!$B$18))))+('Table G'!$B$14+'Table G'!$B$15)*(1+$A155)^(5-1)*(1+'Table G'!$B$27)/(('Table G'!$B$18-'Table G'!$B$27)*(1+'Table G'!$B$18)^5),"")</f>
        <v>92650.095967754198</v>
      </c>
      <c r="G155" s="17">
        <f>IFERROR(('Table G'!$B$14+'Table G'!$B$15)/(1+'Table G'!$B$18)*IF(ABS(((1+$A155)/(1+'Table G'!$B$18))-1)&lt;0.000000001,10,(1-((1+$A155)/(1+'Table G'!$B$18))^10)/(1-((1+$A155)/(1+'Table G'!$B$18))))+('Table G'!$B$14+'Table G'!$B$15)*(1+$A155)^(10-1)*(1+'Table G'!$B$27)/(('Table G'!$B$18-'Table G'!$B$27)*(1+'Table G'!$B$18)^10),"")</f>
        <v>101907.92571864311</v>
      </c>
    </row>
    <row r="156" spans="1:7" x14ac:dyDescent="0.2">
      <c r="A156" s="8">
        <f>-0.1+152*$B$2</f>
        <v>5.1999999999999991E-2</v>
      </c>
      <c r="B156" s="17">
        <f>IFERROR(('Table G'!$B$14+'Table G'!$B$15)/(1+'Table G'!$B$18)*IF(ABS(((1+$A156)/(1+'Table G'!$B$18))-1)&lt;0.000000001,5,(1-((1+$A156)/(1+'Table G'!$B$18))^5)/(1-((1+$A156)/(1+'Table G'!$B$18))))+('Table G'!$B$14+'Table G'!$B$15)*(1+$A156)^(5-1)*(1+'Table G'!$B$25)/(('Table G'!$B$18-'Table G'!$B$25)*(1+'Table G'!$B$18)^5),"")</f>
        <v>81732.242177274311</v>
      </c>
      <c r="C156" s="17">
        <f>IFERROR(('Table G'!$B$14+'Table G'!$B$15)/(1+'Table G'!$B$18)*IF(ABS(((1+$A156)/(1+'Table G'!$B$18))-1)&lt;0.000000001,10,(1-((1+$A156)/(1+'Table G'!$B$18))^10)/(1-((1+$A156)/(1+'Table G'!$B$18))))+('Table G'!$B$14+'Table G'!$B$15)*(1+$A156)^(10-1)*(1+'Table G'!$B$25)/(('Table G'!$B$18-'Table G'!$B$25)*(1+'Table G'!$B$18)^10),"")</f>
        <v>92777.437859399623</v>
      </c>
      <c r="D156" s="17">
        <f>IFERROR(('Table G'!$B$14+'Table G'!$B$15)/(1+'Table G'!$B$18)*IF(ABS(((1+$A156)/(1+'Table G'!$B$18))-1)&lt;0.000000001,5,(1-((1+$A156)/(1+'Table G'!$B$18))^5)/(1-((1+$A156)/(1+'Table G'!$B$18))))+('Table G'!$B$14+'Table G'!$B$15)*(1+$A156)^(5-1)*(1+'Table G'!$B$26)/(('Table G'!$B$18-'Table G'!$B$26)*(1+'Table G'!$B$18)^5),"")</f>
        <v>86897.373446111858</v>
      </c>
      <c r="E156" s="17">
        <f>IFERROR(('Table G'!$B$14+'Table G'!$B$15)/(1+'Table G'!$B$18)*IF(ABS(((1+$A156)/(1+'Table G'!$B$18))-1)&lt;0.000000001,10,(1-((1+$A156)/(1+'Table G'!$B$18))^10)/(1-((1+$A156)/(1+'Table G'!$B$18))))+('Table G'!$B$14+'Table G'!$B$15)*(1+$A156)^(10-1)*(1+'Table G'!$B$26)/(('Table G'!$B$18-'Table G'!$B$26)*(1+'Table G'!$B$18)^10),"")</f>
        <v>97297.534483515919</v>
      </c>
      <c r="F156" s="17">
        <f>IFERROR(('Table G'!$B$14+'Table G'!$B$15)/(1+'Table G'!$B$18)*IF(ABS(((1+$A156)/(1+'Table G'!$B$18))-1)&lt;0.000000001,5,(1-((1+$A156)/(1+'Table G'!$B$18))^5)/(1-((1+$A156)/(1+'Table G'!$B$18))))+('Table G'!$B$14+'Table G'!$B$15)*(1+$A156)^(5-1)*(1+'Table G'!$B$27)/(('Table G'!$B$18-'Table G'!$B$27)*(1+'Table G'!$B$18)^5),"")</f>
        <v>92961.656068803102</v>
      </c>
      <c r="G156" s="17">
        <f>IFERROR(('Table G'!$B$14+'Table G'!$B$15)/(1+'Table G'!$B$18)*IF(ABS(((1+$A156)/(1+'Table G'!$B$18))-1)&lt;0.000000001,10,(1-((1+$A156)/(1+'Table G'!$B$18))^10)/(1-((1+$A156)/(1+'Table G'!$B$18))))+('Table G'!$B$14+'Table G'!$B$15)*(1+$A156)^(10-1)*(1+'Table G'!$B$27)/(('Table G'!$B$18-'Table G'!$B$27)*(1+'Table G'!$B$18)^10),"")</f>
        <v>102604.49416833391</v>
      </c>
    </row>
    <row r="157" spans="1:7" x14ac:dyDescent="0.2">
      <c r="A157" s="8">
        <f>-0.1+153*$B$2</f>
        <v>5.2999999999999992E-2</v>
      </c>
      <c r="B157" s="17">
        <f>IFERROR(('Table G'!$B$14+'Table G'!$B$15)/(1+'Table G'!$B$18)*IF(ABS(((1+$A157)/(1+'Table G'!$B$18))-1)&lt;0.000000001,5,(1-((1+$A157)/(1+'Table G'!$B$18))^5)/(1-((1+$A157)/(1+'Table G'!$B$18))))+('Table G'!$B$14+'Table G'!$B$15)*(1+$A157)^(5-1)*(1+'Table G'!$B$25)/(('Table G'!$B$18-'Table G'!$B$25)*(1+'Table G'!$B$18)^5),"")</f>
        <v>82001.895273754839</v>
      </c>
      <c r="C157" s="17">
        <f>IFERROR(('Table G'!$B$14+'Table G'!$B$15)/(1+'Table G'!$B$18)*IF(ABS(((1+$A157)/(1+'Table G'!$B$18))-1)&lt;0.000000001,10,(1-((1+$A157)/(1+'Table G'!$B$18))^10)/(1-((1+$A157)/(1+'Table G'!$B$18))))+('Table G'!$B$14+'Table G'!$B$15)*(1+$A157)^(10-1)*(1+'Table G'!$B$25)/(('Table G'!$B$18-'Table G'!$B$25)*(1+'Table G'!$B$18)^10),"")</f>
        <v>93394.498383777813</v>
      </c>
      <c r="D157" s="17">
        <f>IFERROR(('Table G'!$B$14+'Table G'!$B$15)/(1+'Table G'!$B$18)*IF(ABS(((1+$A157)/(1+'Table G'!$B$18))-1)&lt;0.000000001,5,(1-((1+$A157)/(1+'Table G'!$B$18))^5)/(1-((1+$A157)/(1+'Table G'!$B$18))))+('Table G'!$B$14+'Table G'!$B$15)*(1+$A157)^(5-1)*(1+'Table G'!$B$26)/(('Table G'!$B$18-'Table G'!$B$26)*(1+'Table G'!$B$18)^5),"")</f>
        <v>87186.693845512447</v>
      </c>
      <c r="E157" s="17">
        <f>IFERROR(('Table G'!$B$14+'Table G'!$B$15)/(1+'Table G'!$B$18)*IF(ABS(((1+$A157)/(1+'Table G'!$B$18))-1)&lt;0.000000001,10,(1-((1+$A157)/(1+'Table G'!$B$18))^10)/(1-((1+$A157)/(1+'Table G'!$B$18))))+('Table G'!$B$14+'Table G'!$B$15)*(1+$A157)^(10-1)*(1+'Table G'!$B$26)/(('Table G'!$B$18-'Table G'!$B$26)*(1+'Table G'!$B$18)^10),"")</f>
        <v>97953.412396961983</v>
      </c>
      <c r="F157" s="17">
        <f>IFERROR(('Table G'!$B$14+'Table G'!$B$15)/(1+'Table G'!$B$18)*IF(ABS(((1+$A157)/(1+'Table G'!$B$18))-1)&lt;0.000000001,5,(1-((1+$A157)/(1+'Table G'!$B$18))^5)/(1-((1+$A157)/(1+'Table G'!$B$18))))+('Table G'!$B$14+'Table G'!$B$15)*(1+$A157)^(5-1)*(1+'Table G'!$B$27)/(('Table G'!$B$18-'Table G'!$B$27)*(1+'Table G'!$B$18)^5),"")</f>
        <v>93274.067475406686</v>
      </c>
      <c r="G157" s="17">
        <f>IFERROR(('Table G'!$B$14+'Table G'!$B$15)/(1+'Table G'!$B$18)*IF(ABS(((1+$A157)/(1+'Table G'!$B$18))-1)&lt;0.000000001,10,(1-((1+$A157)/(1+'Table G'!$B$18))^10)/(1-((1+$A157)/(1+'Table G'!$B$18))))+('Table G'!$B$14+'Table G'!$B$15)*(1+$A157)^(10-1)*(1+'Table G'!$B$27)/(('Table G'!$B$18-'Table G'!$B$27)*(1+'Table G'!$B$18)^10),"")</f>
        <v>103305.94684178711</v>
      </c>
    </row>
    <row r="158" spans="1:7" x14ac:dyDescent="0.2">
      <c r="A158" s="8">
        <f>-0.1+154*$B$2</f>
        <v>5.3999999999999992E-2</v>
      </c>
      <c r="B158" s="17">
        <f>IFERROR(('Table G'!$B$14+'Table G'!$B$15)/(1+'Table G'!$B$18)*IF(ABS(((1+$A158)/(1+'Table G'!$B$18))-1)&lt;0.000000001,5,(1-((1+$A158)/(1+'Table G'!$B$18))^5)/(1-((1+$A158)/(1+'Table G'!$B$18))))+('Table G'!$B$14+'Table G'!$B$15)*(1+$A158)^(5-1)*(1+'Table G'!$B$25)/(('Table G'!$B$18-'Table G'!$B$25)*(1+'Table G'!$B$18)^5),"")</f>
        <v>82272.279266844387</v>
      </c>
      <c r="C158" s="17">
        <f>IFERROR(('Table G'!$B$14+'Table G'!$B$15)/(1+'Table G'!$B$18)*IF(ABS(((1+$A158)/(1+'Table G'!$B$18))-1)&lt;0.000000001,10,(1-((1+$A158)/(1+'Table G'!$B$18))^10)/(1-((1+$A158)/(1+'Table G'!$B$18))))+('Table G'!$B$14+'Table G'!$B$15)*(1+$A158)^(10-1)*(1+'Table G'!$B$25)/(('Table G'!$B$18-'Table G'!$B$25)*(1+'Table G'!$B$18)^10),"")</f>
        <v>94015.830727394743</v>
      </c>
      <c r="D158" s="17">
        <f>IFERROR(('Table G'!$B$14+'Table G'!$B$15)/(1+'Table G'!$B$18)*IF(ABS(((1+$A158)/(1+'Table G'!$B$18))-1)&lt;0.000000001,5,(1-((1+$A158)/(1+'Table G'!$B$18))^5)/(1-((1+$A158)/(1+'Table G'!$B$18))))+('Table G'!$B$14+'Table G'!$B$15)*(1+$A158)^(5-1)*(1+'Table G'!$B$26)/(('Table G'!$B$18-'Table G'!$B$26)*(1+'Table G'!$B$18)^5),"")</f>
        <v>87476.801253613667</v>
      </c>
      <c r="E158" s="17">
        <f>IFERROR(('Table G'!$B$14+'Table G'!$B$15)/(1+'Table G'!$B$18)*IF(ABS(((1+$A158)/(1+'Table G'!$B$18))-1)&lt;0.000000001,10,(1-((1+$A158)/(1+'Table G'!$B$18))^10)/(1-((1+$A158)/(1+'Table G'!$B$18))))+('Table G'!$B$14+'Table G'!$B$15)*(1+$A158)^(10-1)*(1+'Table G'!$B$26)/(('Table G'!$B$18-'Table G'!$B$26)*(1+'Table G'!$B$18)^10),"")</f>
        <v>98613.858161555865</v>
      </c>
      <c r="F158" s="17">
        <f>IFERROR(('Table G'!$B$14+'Table G'!$B$15)/(1+'Table G'!$B$18)*IF(ABS(((1+$A158)/(1+'Table G'!$B$18))-1)&lt;0.000000001,5,(1-((1+$A158)/(1+'Table G'!$B$18))^5)/(1-((1+$A158)/(1+'Table G'!$B$18))))+('Table G'!$B$14+'Table G'!$B$15)*(1+$A158)^(5-1)*(1+'Table G'!$B$27)/(('Table G'!$B$18-'Table G'!$B$27)*(1+'Table G'!$B$18)^5),"")</f>
        <v>93587.331770853081</v>
      </c>
      <c r="G158" s="17">
        <f>IFERROR(('Table G'!$B$14+'Table G'!$B$15)/(1+'Table G'!$B$18)*IF(ABS(((1+$A158)/(1+'Table G'!$B$18))-1)&lt;0.000000001,10,(1-((1+$A158)/(1+'Table G'!$B$18))^10)/(1-((1+$A158)/(1+'Table G'!$B$18))))+('Table G'!$B$14+'Table G'!$B$15)*(1+$A158)^(10-1)*(1+'Table G'!$B$27)/(('Table G'!$B$18-'Table G'!$B$27)*(1+'Table G'!$B$18)^10),"")</f>
        <v>104012.31493183582</v>
      </c>
    </row>
    <row r="159" spans="1:7" x14ac:dyDescent="0.2">
      <c r="A159" s="8">
        <f>-0.1+155*$B$2</f>
        <v>5.4999999999999993E-2</v>
      </c>
      <c r="B159" s="17">
        <f>IFERROR(('Table G'!$B$14+'Table G'!$B$15)/(1+'Table G'!$B$18)*IF(ABS(((1+$A159)/(1+'Table G'!$B$18))-1)&lt;0.000000001,5,(1-((1+$A159)/(1+'Table G'!$B$18))^5)/(1-((1+$A159)/(1+'Table G'!$B$18))))+('Table G'!$B$14+'Table G'!$B$15)*(1+$A159)^(5-1)*(1+'Table G'!$B$25)/(('Table G'!$B$18-'Table G'!$B$25)*(1+'Table G'!$B$18)^5),"")</f>
        <v>82543.39550950058</v>
      </c>
      <c r="C159" s="17">
        <f>IFERROR(('Table G'!$B$14+'Table G'!$B$15)/(1+'Table G'!$B$18)*IF(ABS(((1+$A159)/(1+'Table G'!$B$18))-1)&lt;0.000000001,10,(1-((1+$A159)/(1+'Table G'!$B$18))^10)/(1-((1+$A159)/(1+'Table G'!$B$18))))+('Table G'!$B$14+'Table G'!$B$15)*(1+$A159)^(10-1)*(1+'Table G'!$B$25)/(('Table G'!$B$18-'Table G'!$B$25)*(1+'Table G'!$B$18)^10),"")</f>
        <v>94641.46196599993</v>
      </c>
      <c r="D159" s="17">
        <f>IFERROR(('Table G'!$B$14+'Table G'!$B$15)/(1+'Table G'!$B$18)*IF(ABS(((1+$A159)/(1+'Table G'!$B$18))-1)&lt;0.000000001,5,(1-((1+$A159)/(1+'Table G'!$B$18))^5)/(1-((1+$A159)/(1+'Table G'!$B$18))))+('Table G'!$B$14+'Table G'!$B$15)*(1+$A159)^(5-1)*(1+'Table G'!$B$26)/(('Table G'!$B$18-'Table G'!$B$26)*(1+'Table G'!$B$18)^5),"")</f>
        <v>87767.697129999447</v>
      </c>
      <c r="E159" s="17">
        <f>IFERROR(('Table G'!$B$14+'Table G'!$B$15)/(1+'Table G'!$B$18)*IF(ABS(((1+$A159)/(1+'Table G'!$B$18))-1)&lt;0.000000001,10,(1-((1+$A159)/(1+'Table G'!$B$18))^10)/(1-((1+$A159)/(1+'Table G'!$B$18))))+('Table G'!$B$14+'Table G'!$B$15)*(1+$A159)^(10-1)*(1+'Table G'!$B$26)/(('Table G'!$B$18-'Table G'!$B$26)*(1+'Table G'!$B$18)^10),"")</f>
        <v>99278.900826584184</v>
      </c>
      <c r="F159" s="17">
        <f>IFERROR(('Table G'!$B$14+'Table G'!$B$15)/(1+'Table G'!$B$18)*IF(ABS(((1+$A159)/(1+'Table G'!$B$18))-1)&lt;0.000000001,5,(1-((1+$A159)/(1+'Table G'!$B$18))^5)/(1-((1+$A159)/(1+'Table G'!$B$18))))+('Table G'!$B$14+'Table G'!$B$15)*(1+$A159)^(5-1)*(1+'Table G'!$B$27)/(('Table G'!$B$18-'Table G'!$B$27)*(1+'Table G'!$B$18)^5),"")</f>
        <v>93901.450539914062</v>
      </c>
      <c r="G159" s="17">
        <f>IFERROR(('Table G'!$B$14+'Table G'!$B$15)/(1+'Table G'!$B$18)*IF(ABS(((1+$A159)/(1+'Table G'!$B$18))-1)&lt;0.000000001,10,(1-((1+$A159)/(1+'Table G'!$B$18))^10)/(1-((1+$A159)/(1+'Table G'!$B$18))))+('Table G'!$B$14+'Table G'!$B$15)*(1+$A159)^(10-1)*(1+'Table G'!$B$27)/(('Table G'!$B$18-'Table G'!$B$27)*(1+'Table G'!$B$18)^10),"")</f>
        <v>104723.62980485917</v>
      </c>
    </row>
    <row r="160" spans="1:7" x14ac:dyDescent="0.2">
      <c r="A160" s="8">
        <f>-0.1+156*$B$2</f>
        <v>5.5999999999999994E-2</v>
      </c>
      <c r="B160" s="17">
        <f>IFERROR(('Table G'!$B$14+'Table G'!$B$15)/(1+'Table G'!$B$18)*IF(ABS(((1+$A160)/(1+'Table G'!$B$18))-1)&lt;0.000000001,5,(1-((1+$A160)/(1+'Table G'!$B$18))^5)/(1-((1+$A160)/(1+'Table G'!$B$18))))+('Table G'!$B$14+'Table G'!$B$15)*(1+$A160)^(5-1)*(1+'Table G'!$B$25)/(('Table G'!$B$18-'Table G'!$B$25)*(1+'Table G'!$B$18)^5),"")</f>
        <v>82815.245355945459</v>
      </c>
      <c r="C160" s="17">
        <f>IFERROR(('Table G'!$B$14+'Table G'!$B$15)/(1+'Table G'!$B$18)*IF(ABS(((1+$A160)/(1+'Table G'!$B$18))-1)&lt;0.000000001,10,(1-((1+$A160)/(1+'Table G'!$B$18))^10)/(1-((1+$A160)/(1+'Table G'!$B$18))))+('Table G'!$B$14+'Table G'!$B$15)*(1+$A160)^(10-1)*(1+'Table G'!$B$25)/(('Table G'!$B$18-'Table G'!$B$25)*(1+'Table G'!$B$18)^10),"")</f>
        <v>95271.419325206705</v>
      </c>
      <c r="D160" s="17">
        <f>IFERROR(('Table G'!$B$14+'Table G'!$B$15)/(1+'Table G'!$B$18)*IF(ABS(((1+$A160)/(1+'Table G'!$B$18))-1)&lt;0.000000001,5,(1-((1+$A160)/(1+'Table G'!$B$18))^5)/(1-((1+$A160)/(1+'Table G'!$B$18))))+('Table G'!$B$14+'Table G'!$B$15)*(1+$A160)^(5-1)*(1+'Table G'!$B$26)/(('Table G'!$B$18-'Table G'!$B$26)*(1+'Table G'!$B$18)^5),"")</f>
        <v>88059.382935619273</v>
      </c>
      <c r="E160" s="17">
        <f>IFERROR(('Table G'!$B$14+'Table G'!$B$15)/(1+'Table G'!$B$18)*IF(ABS(((1+$A160)/(1+'Table G'!$B$18))-1)&lt;0.000000001,10,(1-((1+$A160)/(1+'Table G'!$B$18))^10)/(1-((1+$A160)/(1+'Table G'!$B$18))))+('Table G'!$B$14+'Table G'!$B$15)*(1+$A160)^(10-1)*(1+'Table G'!$B$26)/(('Table G'!$B$18-'Table G'!$B$26)*(1+'Table G'!$B$18)^10),"")</f>
        <v>99948.569602464035</v>
      </c>
      <c r="F160" s="17">
        <f>IFERROR(('Table G'!$B$14+'Table G'!$B$15)/(1+'Table G'!$B$18)*IF(ABS(((1+$A160)/(1+'Table G'!$B$18))-1)&lt;0.000000001,5,(1-((1+$A160)/(1+'Table G'!$B$18))^5)/(1-((1+$A160)/(1+'Table G'!$B$18))))+('Table G'!$B$14+'Table G'!$B$15)*(1+$A160)^(5-1)*(1+'Table G'!$B$27)/(('Table G'!$B$18-'Table G'!$B$27)*(1+'Table G'!$B$18)^5),"")</f>
        <v>94216.425368845797</v>
      </c>
      <c r="G160" s="17">
        <f>IFERROR(('Table G'!$B$14+'Table G'!$B$15)/(1+'Table G'!$B$18)*IF(ABS(((1+$A160)/(1+'Table G'!$B$18))-1)&lt;0.000000001,10,(1-((1+$A160)/(1+'Table G'!$B$18))^10)/(1-((1+$A160)/(1+'Table G'!$B$18))))+('Table G'!$B$14+'Table G'!$B$15)*(1+$A160)^(10-1)*(1+'Table G'!$B$27)/(('Table G'!$B$18-'Table G'!$B$27)*(1+'Table G'!$B$18)^10),"")</f>
        <v>105439.92300159468</v>
      </c>
    </row>
    <row r="161" spans="1:7" x14ac:dyDescent="0.2">
      <c r="A161" s="8">
        <f>-0.1+157*$B$2</f>
        <v>5.6999999999999995E-2</v>
      </c>
      <c r="B161" s="17">
        <f>IFERROR(('Table G'!$B$14+'Table G'!$B$15)/(1+'Table G'!$B$18)*IF(ABS(((1+$A161)/(1+'Table G'!$B$18))-1)&lt;0.000000001,5,(1-((1+$A161)/(1+'Table G'!$B$18))^5)/(1-((1+$A161)/(1+'Table G'!$B$18))))+('Table G'!$B$14+'Table G'!$B$15)*(1+$A161)^(5-1)*(1+'Table G'!$B$25)/(('Table G'!$B$18-'Table G'!$B$25)*(1+'Table G'!$B$18)^5),"")</f>
        <v>83087.830161664722</v>
      </c>
      <c r="C161" s="17">
        <f>IFERROR(('Table G'!$B$14+'Table G'!$B$15)/(1+'Table G'!$B$18)*IF(ABS(((1+$A161)/(1+'Table G'!$B$18))-1)&lt;0.000000001,10,(1-((1+$A161)/(1+'Table G'!$B$18))^10)/(1-((1+$A161)/(1+'Table G'!$B$18))))+('Table G'!$B$14+'Table G'!$B$15)*(1+$A161)^(10-1)*(1+'Table G'!$B$25)/(('Table G'!$B$18-'Table G'!$B$25)*(1+'Table G'!$B$18)^10),"")</f>
        <v>95905.730181188585</v>
      </c>
      <c r="D161" s="17">
        <f>IFERROR(('Table G'!$B$14+'Table G'!$B$15)/(1+'Table G'!$B$18)*IF(ABS(((1+$A161)/(1+'Table G'!$B$18))-1)&lt;0.000000001,5,(1-((1+$A161)/(1+'Table G'!$B$18))^5)/(1-((1+$A161)/(1+'Table G'!$B$18))))+('Table G'!$B$14+'Table G'!$B$15)*(1+$A161)^(5-1)*(1+'Table G'!$B$26)/(('Table G'!$B$18-'Table G'!$B$26)*(1+'Table G'!$B$18)^5),"")</f>
        <v>88351.860132787551</v>
      </c>
      <c r="E161" s="17">
        <f>IFERROR(('Table G'!$B$14+'Table G'!$B$15)/(1+'Table G'!$B$18)*IF(ABS(((1+$A161)/(1+'Table G'!$B$18))-1)&lt;0.000000001,10,(1-((1+$A161)/(1+'Table G'!$B$18))^10)/(1-((1+$A161)/(1+'Table G'!$B$18))))+('Table G'!$B$14+'Table G'!$B$15)*(1+$A161)^(10-1)*(1+'Table G'!$B$26)/(('Table G'!$B$18-'Table G'!$B$26)*(1+'Table G'!$B$18)^10),"")</f>
        <v>100622.89386149276</v>
      </c>
      <c r="F161" s="17">
        <f>IFERROR(('Table G'!$B$14+'Table G'!$B$15)/(1+'Table G'!$B$18)*IF(ABS(((1+$A161)/(1+'Table G'!$B$18))-1)&lt;0.000000001,5,(1-((1+$A161)/(1+'Table G'!$B$18))^5)/(1-((1+$A161)/(1+'Table G'!$B$18))))+('Table G'!$B$14+'Table G'!$B$15)*(1+$A161)^(5-1)*(1+'Table G'!$B$27)/(('Table G'!$B$18-'Table G'!$B$27)*(1+'Table G'!$B$18)^5),"")</f>
        <v>94532.25784538826</v>
      </c>
      <c r="G161" s="17">
        <f>IFERROR(('Table G'!$B$14+'Table G'!$B$15)/(1+'Table G'!$B$18)*IF(ABS(((1+$A161)/(1+'Table G'!$B$18))-1)&lt;0.000000001,10,(1-((1+$A161)/(1+'Table G'!$B$18))^10)/(1-((1+$A161)/(1+'Table G'!$B$18))))+('Table G'!$B$14+'Table G'!$B$15)*(1+$A161)^(10-1)*(1+'Table G'!$B$27)/(('Table G'!$B$18-'Table G'!$B$27)*(1+'Table G'!$B$18)^10),"")</f>
        <v>106161.22623795082</v>
      </c>
    </row>
    <row r="162" spans="1:7" x14ac:dyDescent="0.2">
      <c r="A162" s="8">
        <f>-0.1+158*$B$2</f>
        <v>5.7999999999999996E-2</v>
      </c>
      <c r="B162" s="17">
        <f>IFERROR(('Table G'!$B$14+'Table G'!$B$15)/(1+'Table G'!$B$18)*IF(ABS(((1+$A162)/(1+'Table G'!$B$18))-1)&lt;0.000000001,5,(1-((1+$A162)/(1+'Table G'!$B$18))^5)/(1-((1+$A162)/(1+'Table G'!$B$18))))+('Table G'!$B$14+'Table G'!$B$15)*(1+$A162)^(5-1)*(1+'Table G'!$B$25)/(('Table G'!$B$18-'Table G'!$B$25)*(1+'Table G'!$B$18)^5),"")</f>
        <v>83361.151283408413</v>
      </c>
      <c r="C162" s="17">
        <f>IFERROR(('Table G'!$B$14+'Table G'!$B$15)/(1+'Table G'!$B$18)*IF(ABS(((1+$A162)/(1+'Table G'!$B$18))-1)&lt;0.000000001,10,(1-((1+$A162)/(1+'Table G'!$B$18))^10)/(1-((1+$A162)/(1+'Table G'!$B$18))))+('Table G'!$B$14+'Table G'!$B$15)*(1+$A162)^(10-1)*(1+'Table G'!$B$25)/(('Table G'!$B$18-'Table G'!$B$25)*(1+'Table G'!$B$18)^10),"")</f>
        <v>96544.422061380697</v>
      </c>
      <c r="D162" s="17">
        <f>IFERROR(('Table G'!$B$14+'Table G'!$B$15)/(1+'Table G'!$B$18)*IF(ABS(((1+$A162)/(1+'Table G'!$B$18))-1)&lt;0.000000001,5,(1-((1+$A162)/(1+'Table G'!$B$18))^5)/(1-((1+$A162)/(1+'Table G'!$B$18))))+('Table G'!$B$14+'Table G'!$B$15)*(1+$A162)^(5-1)*(1+'Table G'!$B$26)/(('Table G'!$B$18-'Table G'!$B$26)*(1+'Table G'!$B$18)^5),"")</f>
        <v>88645.1301851842</v>
      </c>
      <c r="E162" s="17">
        <f>IFERROR(('Table G'!$B$14+'Table G'!$B$15)/(1+'Table G'!$B$18)*IF(ABS(((1+$A162)/(1+'Table G'!$B$18))-1)&lt;0.000000001,10,(1-((1+$A162)/(1+'Table G'!$B$18))^10)/(1-((1+$A162)/(1+'Table G'!$B$18))))+('Table G'!$B$14+'Table G'!$B$15)*(1+$A162)^(10-1)*(1+'Table G'!$B$26)/(('Table G'!$B$18-'Table G'!$B$26)*(1+'Table G'!$B$18)^10),"")</f>
        <v>101301.90313860326</v>
      </c>
      <c r="F162" s="17">
        <f>IFERROR(('Table G'!$B$14+'Table G'!$B$15)/(1+'Table G'!$B$18)*IF(ABS(((1+$A162)/(1+'Table G'!$B$18))-1)&lt;0.000000001,5,(1-((1+$A162)/(1+'Table G'!$B$18))^5)/(1-((1+$A162)/(1+'Table G'!$B$18))))+('Table G'!$B$14+'Table G'!$B$15)*(1+$A162)^(5-1)*(1+'Table G'!$B$27)/(('Table G'!$B$18-'Table G'!$B$27)*(1+'Table G'!$B$18)^5),"")</f>
        <v>94848.9495587657</v>
      </c>
      <c r="G162" s="17">
        <f>IFERROR(('Table G'!$B$14+'Table G'!$B$15)/(1+'Table G'!$B$18)*IF(ABS(((1+$A162)/(1+'Table G'!$B$18))-1)&lt;0.000000001,10,(1-((1+$A162)/(1+'Table G'!$B$18))^10)/(1-((1+$A162)/(1+'Table G'!$B$18))))+('Table G'!$B$14+'Table G'!$B$15)*(1+$A162)^(10-1)*(1+'Table G'!$B$27)/(('Table G'!$B$18-'Table G'!$B$27)*(1+'Table G'!$B$18)^10),"")</f>
        <v>106887.57140582545</v>
      </c>
    </row>
    <row r="163" spans="1:7" x14ac:dyDescent="0.2">
      <c r="A163" s="8">
        <f>-0.1+159*$B$2</f>
        <v>5.8999999999999997E-2</v>
      </c>
      <c r="B163" s="17">
        <f>IFERROR(('Table G'!$B$14+'Table G'!$B$15)/(1+'Table G'!$B$18)*IF(ABS(((1+$A163)/(1+'Table G'!$B$18))-1)&lt;0.000000001,5,(1-((1+$A163)/(1+'Table G'!$B$18))^5)/(1-((1+$A163)/(1+'Table G'!$B$18))))+('Table G'!$B$14+'Table G'!$B$15)*(1+$A163)^(5-1)*(1+'Table G'!$B$25)/(('Table G'!$B$18-'Table G'!$B$25)*(1+'Table G'!$B$18)^5),"")</f>
        <v>83635.210079190365</v>
      </c>
      <c r="C163" s="17">
        <f>IFERROR(('Table G'!$B$14+'Table G'!$B$15)/(1+'Table G'!$B$18)*IF(ABS(((1+$A163)/(1+'Table G'!$B$18))-1)&lt;0.000000001,10,(1-((1+$A163)/(1+'Table G'!$B$18))^10)/(1-((1+$A163)/(1+'Table G'!$B$18))))+('Table G'!$B$14+'Table G'!$B$15)*(1+$A163)^(10-1)*(1+'Table G'!$B$25)/(('Table G'!$B$18-'Table G'!$B$25)*(1+'Table G'!$B$18)^10),"")</f>
        <v>97187.52264518138</v>
      </c>
      <c r="D163" s="17">
        <f>IFERROR(('Table G'!$B$14+'Table G'!$B$15)/(1+'Table G'!$B$18)*IF(ABS(((1+$A163)/(1+'Table G'!$B$18))-1)&lt;0.000000001,5,(1-((1+$A163)/(1+'Table G'!$B$18))^5)/(1-((1+$A163)/(1+'Table G'!$B$18))))+('Table G'!$B$14+'Table G'!$B$15)*(1+$A163)^(5-1)*(1+'Table G'!$B$26)/(('Table G'!$B$18-'Table G'!$B$26)*(1+'Table G'!$B$18)^5),"")</f>
        <v>88939.194557854178</v>
      </c>
      <c r="E163" s="17">
        <f>IFERROR(('Table G'!$B$14+'Table G'!$B$15)/(1+'Table G'!$B$18)*IF(ABS(((1+$A163)/(1+'Table G'!$B$18))-1)&lt;0.000000001,10,(1-((1+$A163)/(1+'Table G'!$B$18))^10)/(1-((1+$A163)/(1+'Table G'!$B$18))))+('Table G'!$B$14+'Table G'!$B$15)*(1+$A163)^(10-1)*(1+'Table G'!$B$26)/(('Table G'!$B$18-'Table G'!$B$26)*(1+'Table G'!$B$18)^10),"")</f>
        <v>101985.62713211938</v>
      </c>
      <c r="F163" s="17">
        <f>IFERROR(('Table G'!$B$14+'Table G'!$B$15)/(1+'Table G'!$B$18)*IF(ABS(((1+$A163)/(1+'Table G'!$B$18))-1)&lt;0.000000001,5,(1-((1+$A163)/(1+'Table G'!$B$18))^5)/(1-((1+$A163)/(1+'Table G'!$B$18))))+('Table G'!$B$14+'Table G'!$B$15)*(1+$A163)^(5-1)*(1+'Table G'!$B$27)/(('Table G'!$B$18-'Table G'!$B$27)*(1+'Table G'!$B$18)^5),"")</f>
        <v>95166.502099686273</v>
      </c>
      <c r="G163" s="17">
        <f>IFERROR(('Table G'!$B$14+'Table G'!$B$15)/(1+'Table G'!$B$18)*IF(ABS(((1+$A163)/(1+'Table G'!$B$18))-1)&lt;0.000000001,10,(1-((1+$A163)/(1+'Table G'!$B$18))^10)/(1-((1+$A163)/(1+'Table G'!$B$18))))+('Table G'!$B$14+'Table G'!$B$15)*(1+$A163)^(10-1)*(1+'Table G'!$B$27)/(('Table G'!$B$18-'Table G'!$B$27)*(1+'Table G'!$B$18)^10),"")</f>
        <v>107618.9905739247</v>
      </c>
    </row>
    <row r="164" spans="1:7" x14ac:dyDescent="0.2">
      <c r="A164" s="8">
        <f>-0.1+160*$B$2</f>
        <v>0.06</v>
      </c>
      <c r="B164" s="17">
        <f>IFERROR(('Table G'!$B$14+'Table G'!$B$15)/(1+'Table G'!$B$18)*IF(ABS(((1+$A164)/(1+'Table G'!$B$18))-1)&lt;0.000000001,5,(1-((1+$A164)/(1+'Table G'!$B$18))^5)/(1-((1+$A164)/(1+'Table G'!$B$18))))+('Table G'!$B$14+'Table G'!$B$15)*(1+$A164)^(5-1)*(1+'Table G'!$B$25)/(('Table G'!$B$18-'Table G'!$B$25)*(1+'Table G'!$B$18)^5),"")</f>
        <v>83910.00790828855</v>
      </c>
      <c r="C164" s="17">
        <f>IFERROR(('Table G'!$B$14+'Table G'!$B$15)/(1+'Table G'!$B$18)*IF(ABS(((1+$A164)/(1+'Table G'!$B$18))-1)&lt;0.000000001,10,(1-((1+$A164)/(1+'Table G'!$B$18))^10)/(1-((1+$A164)/(1+'Table G'!$B$18))))+('Table G'!$B$14+'Table G'!$B$15)*(1+$A164)^(10-1)*(1+'Table G'!$B$25)/(('Table G'!$B$18-'Table G'!$B$25)*(1+'Table G'!$B$18)^10),"")</f>
        <v>97835.059764658567</v>
      </c>
      <c r="D164" s="17">
        <f>IFERROR(('Table G'!$B$14+'Table G'!$B$15)/(1+'Table G'!$B$18)*IF(ABS(((1+$A164)/(1+'Table G'!$B$18))-1)&lt;0.000000001,5,(1-((1+$A164)/(1+'Table G'!$B$18))^5)/(1-((1+$A164)/(1+'Table G'!$B$18))))+('Table G'!$B$14+'Table G'!$B$15)*(1+$A164)^(5-1)*(1+'Table G'!$B$26)/(('Table G'!$B$18-'Table G'!$B$26)*(1+'Table G'!$B$18)^5),"")</f>
        <v>89234.054717207764</v>
      </c>
      <c r="E164" s="17">
        <f>IFERROR(('Table G'!$B$14+'Table G'!$B$15)/(1+'Table G'!$B$18)*IF(ABS(((1+$A164)/(1+'Table G'!$B$18))-1)&lt;0.000000001,10,(1-((1+$A164)/(1+'Table G'!$B$18))^10)/(1-((1+$A164)/(1+'Table G'!$B$18))))+('Table G'!$B$14+'Table G'!$B$15)*(1+$A164)^(10-1)*(1+'Table G'!$B$26)/(('Table G'!$B$18-'Table G'!$B$26)*(1+'Table G'!$B$18)^10),"")</f>
        <v>102674.0957045167</v>
      </c>
      <c r="F164" s="17">
        <f>IFERROR(('Table G'!$B$14+'Table G'!$B$15)/(1+'Table G'!$B$18)*IF(ABS(((1+$A164)/(1+'Table G'!$B$18))-1)&lt;0.000000001,5,(1-((1+$A164)/(1+'Table G'!$B$18))^5)/(1-((1+$A164)/(1+'Table G'!$B$18))))+('Table G'!$B$14+'Table G'!$B$15)*(1+$A164)^(5-1)*(1+'Table G'!$B$27)/(('Table G'!$B$18-'Table G'!$B$27)*(1+'Table G'!$B$18)^5),"")</f>
        <v>95484.917060342297</v>
      </c>
      <c r="G164" s="17">
        <f>IFERROR(('Table G'!$B$14+'Table G'!$B$15)/(1+'Table G'!$B$18)*IF(ABS(((1+$A164)/(1+'Table G'!$B$18))-1)&lt;0.000000001,10,(1-((1+$A164)/(1+'Table G'!$B$18))^10)/(1-((1+$A164)/(1+'Table G'!$B$18))))+('Table G'!$B$14+'Table G'!$B$15)*(1+$A164)^(10-1)*(1+'Table G'!$B$27)/(('Table G'!$B$18-'Table G'!$B$27)*(1+'Table G'!$B$18)^10),"")</f>
        <v>108355.51598858711</v>
      </c>
    </row>
    <row r="165" spans="1:7" x14ac:dyDescent="0.2">
      <c r="A165" s="8">
        <f>-0.1+161*$B$2</f>
        <v>6.0999999999999999E-2</v>
      </c>
      <c r="B165" s="17">
        <f>IFERROR(('Table G'!$B$14+'Table G'!$B$15)/(1+'Table G'!$B$18)*IF(ABS(((1+$A165)/(1+'Table G'!$B$18))-1)&lt;0.000000001,5,(1-((1+$A165)/(1+'Table G'!$B$18))^5)/(1-((1+$A165)/(1+'Table G'!$B$18))))+('Table G'!$B$14+'Table G'!$B$15)*(1+$A165)^(5-1)*(1+'Table G'!$B$25)/(('Table G'!$B$18-'Table G'!$B$25)*(1+'Table G'!$B$18)^5),"")</f>
        <v>84185.546131244846</v>
      </c>
      <c r="C165" s="17">
        <f>IFERROR(('Table G'!$B$14+'Table G'!$B$15)/(1+'Table G'!$B$18)*IF(ABS(((1+$A165)/(1+'Table G'!$B$18))-1)&lt;0.000000001,10,(1-((1+$A165)/(1+'Table G'!$B$18))^10)/(1-((1+$A165)/(1+'Table G'!$B$18))))+('Table G'!$B$14+'Table G'!$B$15)*(1+$A165)^(10-1)*(1+'Table G'!$B$25)/(('Table G'!$B$18-'Table G'!$B$25)*(1+'Table G'!$B$18)^10),"")</f>
        <v>98487.061405257118</v>
      </c>
      <c r="D165" s="17">
        <f>IFERROR(('Table G'!$B$14+'Table G'!$B$15)/(1+'Table G'!$B$18)*IF(ABS(((1+$A165)/(1+'Table G'!$B$18))-1)&lt;0.000000001,5,(1-((1+$A165)/(1+'Table G'!$B$18))^5)/(1-((1+$A165)/(1+'Table G'!$B$18))))+('Table G'!$B$14+'Table G'!$B$15)*(1+$A165)^(5-1)*(1+'Table G'!$B$26)/(('Table G'!$B$18-'Table G'!$B$26)*(1+'Table G'!$B$18)^5),"")</f>
        <v>89529.71213102038</v>
      </c>
      <c r="E165" s="17">
        <f>IFERROR(('Table G'!$B$14+'Table G'!$B$15)/(1+'Table G'!$B$18)*IF(ABS(((1+$A165)/(1+'Table G'!$B$18))-1)&lt;0.000000001,10,(1-((1+$A165)/(1+'Table G'!$B$18))^10)/(1-((1+$A165)/(1+'Table G'!$B$18))))+('Table G'!$B$14+'Table G'!$B$15)*(1+$A165)^(10-1)*(1+'Table G'!$B$26)/(('Table G'!$B$18-'Table G'!$B$26)*(1+'Table G'!$B$18)^10),"")</f>
        <v>103367.33888318398</v>
      </c>
      <c r="F165" s="17">
        <f>IFERROR(('Table G'!$B$14+'Table G'!$B$15)/(1+'Table G'!$B$18)*IF(ABS(((1+$A165)/(1+'Table G'!$B$18))-1)&lt;0.000000001,5,(1-((1+$A165)/(1+'Table G'!$B$18))^5)/(1-((1+$A165)/(1+'Table G'!$B$18))))+('Table G'!$B$14+'Table G'!$B$15)*(1+$A165)^(5-1)*(1+'Table G'!$B$27)/(('Table G'!$B$18-'Table G'!$B$27)*(1+'Table G'!$B$18)^5),"")</f>
        <v>95804.196034410066</v>
      </c>
      <c r="G165" s="17">
        <f>IFERROR(('Table G'!$B$14+'Table G'!$B$15)/(1+'Table G'!$B$18)*IF(ABS(((1+$A165)/(1+'Table G'!$B$18))-1)&lt;0.000000001,10,(1-((1+$A165)/(1+'Table G'!$B$18))^10)/(1-((1+$A165)/(1+'Table G'!$B$18))))+('Table G'!$B$14+'Table G'!$B$15)*(1+$A165)^(10-1)*(1+'Table G'!$B$27)/(('Table G'!$B$18-'Table G'!$B$27)*(1+'Table G'!$B$18)^10),"")</f>
        <v>109097.18007460906</v>
      </c>
    </row>
    <row r="166" spans="1:7" x14ac:dyDescent="0.2">
      <c r="A166" s="8">
        <f>-0.1+162*$B$2</f>
        <v>6.2E-2</v>
      </c>
      <c r="B166" s="17">
        <f>IFERROR(('Table G'!$B$14+'Table G'!$B$15)/(1+'Table G'!$B$18)*IF(ABS(((1+$A166)/(1+'Table G'!$B$18))-1)&lt;0.000000001,5,(1-((1+$A166)/(1+'Table G'!$B$18))^5)/(1-((1+$A166)/(1+'Table G'!$B$18))))+('Table G'!$B$14+'Table G'!$B$15)*(1+$A166)^(5-1)*(1+'Table G'!$B$25)/(('Table G'!$B$18-'Table G'!$B$25)*(1+'Table G'!$B$18)^5),"")</f>
        <v>84461.826109865331</v>
      </c>
      <c r="C166" s="17">
        <f>IFERROR(('Table G'!$B$14+'Table G'!$B$15)/(1+'Table G'!$B$18)*IF(ABS(((1+$A166)/(1+'Table G'!$B$18))-1)&lt;0.000000001,10,(1-((1+$A166)/(1+'Table G'!$B$18))^10)/(1-((1+$A166)/(1+'Table G'!$B$18))))+('Table G'!$B$14+'Table G'!$B$15)*(1+$A166)^(10-1)*(1+'Table G'!$B$25)/(('Table G'!$B$18-'Table G'!$B$25)*(1+'Table G'!$B$18)^10),"")</f>
        <v>99143.555706510204</v>
      </c>
      <c r="D166" s="17">
        <f>IFERROR(('Table G'!$B$14+'Table G'!$B$15)/(1+'Table G'!$B$18)*IF(ABS(((1+$A166)/(1+'Table G'!$B$18))-1)&lt;0.000000001,5,(1-((1+$A166)/(1+'Table G'!$B$18))^5)/(1-((1+$A166)/(1+'Table G'!$B$18))))+('Table G'!$B$14+'Table G'!$B$15)*(1+$A166)^(5-1)*(1+'Table G'!$B$26)/(('Table G'!$B$18-'Table G'!$B$26)*(1+'Table G'!$B$18)^5),"")</f>
        <v>89826.168268432812</v>
      </c>
      <c r="E166" s="17">
        <f>IFERROR(('Table G'!$B$14+'Table G'!$B$15)/(1+'Table G'!$B$18)*IF(ABS(((1+$A166)/(1+'Table G'!$B$18))-1)&lt;0.000000001,10,(1-((1+$A166)/(1+'Table G'!$B$18))^10)/(1-((1+$A166)/(1+'Table G'!$B$18))))+('Table G'!$B$14+'Table G'!$B$15)*(1+$A166)^(10-1)*(1+'Table G'!$B$26)/(('Table G'!$B$18-'Table G'!$B$26)*(1+'Table G'!$B$18)^10),"")</f>
        <v>104065.38686118925</v>
      </c>
      <c r="F166" s="17">
        <f>IFERROR(('Table G'!$B$14+'Table G'!$B$15)/(1+'Table G'!$B$18)*IF(ABS(((1+$A166)/(1+'Table G'!$B$18))-1)&lt;0.000000001,5,(1-((1+$A166)/(1+'Table G'!$B$18))^5)/(1-((1+$A166)/(1+'Table G'!$B$18))))+('Table G'!$B$14+'Table G'!$B$15)*(1+$A166)^(5-1)*(1+'Table G'!$B$27)/(('Table G'!$B$18-'Table G'!$B$27)*(1+'Table G'!$B$18)^5),"")</f>
        <v>96124.340617050009</v>
      </c>
      <c r="G166" s="17">
        <f>IFERROR(('Table G'!$B$14+'Table G'!$B$15)/(1+'Table G'!$B$18)*IF(ABS(((1+$A166)/(1+'Table G'!$B$18))-1)&lt;0.000000001,10,(1-((1+$A166)/(1+'Table G'!$B$18))^10)/(1-((1+$A166)/(1+'Table G'!$B$18))))+('Table G'!$B$14+'Table G'!$B$15)*(1+$A166)^(10-1)*(1+'Table G'!$B$27)/(('Table G'!$B$18-'Table G'!$B$27)*(1+'Table G'!$B$18)^10),"")</f>
        <v>109844.01543607496</v>
      </c>
    </row>
    <row r="167" spans="1:7" x14ac:dyDescent="0.2">
      <c r="A167" s="8">
        <f>-0.1+163*$B$2</f>
        <v>6.3E-2</v>
      </c>
      <c r="B167" s="17">
        <f>IFERROR(('Table G'!$B$14+'Table G'!$B$15)/(1+'Table G'!$B$18)*IF(ABS(((1+$A167)/(1+'Table G'!$B$18))-1)&lt;0.000000001,5,(1-((1+$A167)/(1+'Table G'!$B$18))^5)/(1-((1+$A167)/(1+'Table G'!$B$18))))+('Table G'!$B$14+'Table G'!$B$15)*(1+$A167)^(5-1)*(1+'Table G'!$B$25)/(('Table G'!$B$18-'Table G'!$B$25)*(1+'Table G'!$B$18)^5),"")</f>
        <v>84738.849207219842</v>
      </c>
      <c r="C167" s="17">
        <f>IFERROR(('Table G'!$B$14+'Table G'!$B$15)/(1+'Table G'!$B$18)*IF(ABS(((1+$A167)/(1+'Table G'!$B$18))-1)&lt;0.000000001,10,(1-((1+$A167)/(1+'Table G'!$B$18))^10)/(1-((1+$A167)/(1+'Table G'!$B$18))))+('Table G'!$B$14+'Table G'!$B$15)*(1+$A167)^(10-1)*(1+'Table G'!$B$25)/(('Table G'!$B$18-'Table G'!$B$25)*(1+'Table G'!$B$18)^10),"")</f>
        <v>99804.570962751794</v>
      </c>
      <c r="D167" s="17">
        <f>IFERROR(('Table G'!$B$14+'Table G'!$B$15)/(1+'Table G'!$B$18)*IF(ABS(((1+$A167)/(1+'Table G'!$B$18))-1)&lt;0.000000001,5,(1-((1+$A167)/(1+'Table G'!$B$18))^5)/(1-((1+$A167)/(1+'Table G'!$B$18))))+('Table G'!$B$14+'Table G'!$B$15)*(1+$A167)^(5-1)*(1+'Table G'!$B$26)/(('Table G'!$B$18-'Table G'!$B$26)*(1+'Table G'!$B$18)^5),"")</f>
        <v>90123.424599950915</v>
      </c>
      <c r="E167" s="17">
        <f>IFERROR(('Table G'!$B$14+'Table G'!$B$15)/(1+'Table G'!$B$18)*IF(ABS(((1+$A167)/(1+'Table G'!$B$18))-1)&lt;0.000000001,10,(1-((1+$A167)/(1+'Table G'!$B$18))^10)/(1-((1+$A167)/(1+'Table G'!$B$18))))+('Table G'!$B$14+'Table G'!$B$15)*(1+$A167)^(10-1)*(1+'Table G'!$B$26)/(('Table G'!$B$18-'Table G'!$B$26)*(1+'Table G'!$B$18)^10),"")</f>
        <v>104768.26999804706</v>
      </c>
      <c r="F167" s="17">
        <f>IFERROR(('Table G'!$B$14+'Table G'!$B$15)/(1+'Table G'!$B$18)*IF(ABS(((1+$A167)/(1+'Table G'!$B$18))-1)&lt;0.000000001,5,(1-((1+$A167)/(1+'Table G'!$B$18))^5)/(1-((1+$A167)/(1+'Table G'!$B$18))))+('Table G'!$B$14+'Table G'!$B$15)*(1+$A167)^(5-1)*(1+'Table G'!$B$27)/(('Table G'!$B$18-'Table G'!$B$27)*(1+'Table G'!$B$18)^5),"")</f>
        <v>96445.352404906516</v>
      </c>
      <c r="G167" s="17">
        <f>IFERROR(('Table G'!$B$14+'Table G'!$B$15)/(1+'Table G'!$B$18)*IF(ABS(((1+$A167)/(1+'Table G'!$B$18))-1)&lt;0.000000001,10,(1-((1+$A167)/(1+'Table G'!$B$18))^10)/(1-((1+$A167)/(1+'Table G'!$B$18))))+('Table G'!$B$14+'Table G'!$B$15)*(1+$A167)^(10-1)*(1+'Table G'!$B$27)/(('Table G'!$B$18-'Table G'!$B$27)*(1+'Table G'!$B$18)^10),"")</f>
        <v>110596.05485718868</v>
      </c>
    </row>
    <row r="168" spans="1:7" x14ac:dyDescent="0.2">
      <c r="A168" s="8">
        <f>-0.1+164*$B$2</f>
        <v>6.4000000000000001E-2</v>
      </c>
      <c r="B168" s="17">
        <f>IFERROR(('Table G'!$B$14+'Table G'!$B$15)/(1+'Table G'!$B$18)*IF(ABS(((1+$A168)/(1+'Table G'!$B$18))-1)&lt;0.000000001,5,(1-((1+$A168)/(1+'Table G'!$B$18))^5)/(1-((1+$A168)/(1+'Table G'!$B$18))))+('Table G'!$B$14+'Table G'!$B$15)*(1+$A168)^(5-1)*(1+'Table G'!$B$25)/(('Table G'!$B$18-'Table G'!$B$25)*(1+'Table G'!$B$18)^5),"")</f>
        <v>85016.616787642706</v>
      </c>
      <c r="C168" s="17">
        <f>IFERROR(('Table G'!$B$14+'Table G'!$B$15)/(1+'Table G'!$B$18)*IF(ABS(((1+$A168)/(1+'Table G'!$B$18))-1)&lt;0.000000001,10,(1-((1+$A168)/(1+'Table G'!$B$18))^10)/(1-((1+$A168)/(1+'Table G'!$B$18))))+('Table G'!$B$14+'Table G'!$B$15)*(1+$A168)^(10-1)*(1+'Table G'!$B$25)/(('Table G'!$B$18-'Table G'!$B$25)*(1+'Table G'!$B$18)^10),"")</f>
        <v>100470.13562383402</v>
      </c>
      <c r="D168" s="17">
        <f>IFERROR(('Table G'!$B$14+'Table G'!$B$15)/(1+'Table G'!$B$18)*IF(ABS(((1+$A168)/(1+'Table G'!$B$18))-1)&lt;0.000000001,5,(1-((1+$A168)/(1+'Table G'!$B$18))^5)/(1-((1+$A168)/(1+'Table G'!$B$18))))+('Table G'!$B$14+'Table G'!$B$15)*(1+$A168)^(5-1)*(1+'Table G'!$B$26)/(('Table G'!$B$18-'Table G'!$B$26)*(1+'Table G'!$B$18)^5),"")</f>
        <v>90421.482597446098</v>
      </c>
      <c r="E168" s="17">
        <f>IFERROR(('Table G'!$B$14+'Table G'!$B$15)/(1+'Table G'!$B$18)*IF(ABS(((1+$A168)/(1+'Table G'!$B$18))-1)&lt;0.000000001,10,(1-((1+$A168)/(1+'Table G'!$B$18))^10)/(1-((1+$A168)/(1+'Table G'!$B$18))))+('Table G'!$B$14+'Table G'!$B$15)*(1+$A168)^(10-1)*(1+'Table G'!$B$26)/(('Table G'!$B$18-'Table G'!$B$26)*(1+'Table G'!$B$18)^10),"")</f>
        <v>105476.01882049089</v>
      </c>
      <c r="F168" s="17">
        <f>IFERROR(('Table G'!$B$14+'Table G'!$B$15)/(1+'Table G'!$B$18)*IF(ABS(((1+$A168)/(1+'Table G'!$B$18))-1)&lt;0.000000001,5,(1-((1+$A168)/(1+'Table G'!$B$18))^5)/(1-((1+$A168)/(1+'Table G'!$B$18))))+('Table G'!$B$14+'Table G'!$B$15)*(1+$A168)^(5-1)*(1+'Table G'!$B$27)/(('Table G'!$B$18-'Table G'!$B$27)*(1+'Table G'!$B$18)^5),"")</f>
        <v>96767.23299610836</v>
      </c>
      <c r="G168" s="17">
        <f>IFERROR(('Table G'!$B$14+'Table G'!$B$15)/(1+'Table G'!$B$18)*IF(ABS(((1+$A168)/(1+'Table G'!$B$18))-1)&lt;0.000000001,10,(1-((1+$A168)/(1+'Table G'!$B$18))^10)/(1-((1+$A168)/(1+'Table G'!$B$18))))+('Table G'!$B$14+'Table G'!$B$15)*(1+$A168)^(10-1)*(1+'Table G'!$B$27)/(('Table G'!$B$18-'Table G'!$B$27)*(1+'Table G'!$B$18)^10),"")</f>
        <v>111353.33130311055</v>
      </c>
    </row>
    <row r="169" spans="1:7" x14ac:dyDescent="0.2">
      <c r="A169" s="8">
        <f>-0.1+165*$B$2</f>
        <v>6.5000000000000002E-2</v>
      </c>
      <c r="B169" s="17">
        <f>IFERROR(('Table G'!$B$14+'Table G'!$B$15)/(1+'Table G'!$B$18)*IF(ABS(((1+$A169)/(1+'Table G'!$B$18))-1)&lt;0.000000001,5,(1-((1+$A169)/(1+'Table G'!$B$18))^5)/(1-((1+$A169)/(1+'Table G'!$B$18))))+('Table G'!$B$14+'Table G'!$B$15)*(1+$A169)^(5-1)*(1+'Table G'!$B$25)/(('Table G'!$B$18-'Table G'!$B$25)*(1+'Table G'!$B$18)^5),"")</f>
        <v>85295.130216731544</v>
      </c>
      <c r="C169" s="17">
        <f>IFERROR(('Table G'!$B$14+'Table G'!$B$15)/(1+'Table G'!$B$18)*IF(ABS(((1+$A169)/(1+'Table G'!$B$18))-1)&lt;0.000000001,10,(1-((1+$A169)/(1+'Table G'!$B$18))^10)/(1-((1+$A169)/(1+'Table G'!$B$18))))+('Table G'!$B$14+'Table G'!$B$15)*(1+$A169)^(10-1)*(1+'Table G'!$B$25)/(('Table G'!$B$18-'Table G'!$B$25)*(1+'Table G'!$B$18)^10),"")</f>
        <v>101140.27829584395</v>
      </c>
      <c r="D169" s="17">
        <f>IFERROR(('Table G'!$B$14+'Table G'!$B$15)/(1+'Table G'!$B$18)*IF(ABS(((1+$A169)/(1+'Table G'!$B$18))-1)&lt;0.000000001,5,(1-((1+$A169)/(1+'Table G'!$B$18))^5)/(1-((1+$A169)/(1+'Table G'!$B$18))))+('Table G'!$B$14+'Table G'!$B$15)*(1+$A169)^(5-1)*(1+'Table G'!$B$26)/(('Table G'!$B$18-'Table G'!$B$26)*(1+'Table G'!$B$18)^5),"")</f>
        <v>90720.343734154449</v>
      </c>
      <c r="E169" s="17">
        <f>IFERROR(('Table G'!$B$14+'Table G'!$B$15)/(1+'Table G'!$B$18)*IF(ABS(((1+$A169)/(1+'Table G'!$B$18))-1)&lt;0.000000001,10,(1-((1+$A169)/(1+'Table G'!$B$18))^10)/(1-((1+$A169)/(1+'Table G'!$B$18))))+('Table G'!$B$14+'Table G'!$B$15)*(1+$A169)^(10-1)*(1+'Table G'!$B$26)/(('Table G'!$B$18-'Table G'!$B$26)*(1+'Table G'!$B$18)^10),"")</f>
        <v>106188.66402324487</v>
      </c>
      <c r="F169" s="17">
        <f>IFERROR(('Table G'!$B$14+'Table G'!$B$15)/(1+'Table G'!$B$18)*IF(ABS(((1+$A169)/(1+'Table G'!$B$18))-1)&lt;0.000000001,5,(1-((1+$A169)/(1+'Table G'!$B$18))^5)/(1-((1+$A169)/(1+'Table G'!$B$18))))+('Table G'!$B$14+'Table G'!$B$15)*(1+$A169)^(5-1)*(1+'Table G'!$B$27)/(('Table G'!$B$18-'Table G'!$B$27)*(1+'Table G'!$B$18)^5),"")</f>
        <v>97089.983990267749</v>
      </c>
      <c r="G169" s="17">
        <f>IFERROR(('Table G'!$B$14+'Table G'!$B$15)/(1+'Table G'!$B$18)*IF(ABS(((1+$A169)/(1+'Table G'!$B$18))-1)&lt;0.000000001,10,(1-((1+$A169)/(1+'Table G'!$B$18))^10)/(1-((1+$A169)/(1+'Table G'!$B$18))))+('Table G'!$B$14+'Table G'!$B$15)*(1+$A169)^(10-1)*(1+'Table G'!$B$27)/(('Table G'!$B$18-'Table G'!$B$27)*(1+'Table G'!$B$18)^10),"")</f>
        <v>112115.87792079407</v>
      </c>
    </row>
    <row r="170" spans="1:7" x14ac:dyDescent="0.2">
      <c r="A170" s="8">
        <f>-0.1+166*$B$2</f>
        <v>6.6000000000000003E-2</v>
      </c>
      <c r="B170" s="17">
        <f>IFERROR(('Table G'!$B$14+'Table G'!$B$15)/(1+'Table G'!$B$18)*IF(ABS(((1+$A170)/(1+'Table G'!$B$18))-1)&lt;0.000000001,5,(1-((1+$A170)/(1+'Table G'!$B$18))^5)/(1-((1+$A170)/(1+'Table G'!$B$18))))+('Table G'!$B$14+'Table G'!$B$15)*(1+$A170)^(5-1)*(1+'Table G'!$B$25)/(('Table G'!$B$18-'Table G'!$B$25)*(1+'Table G'!$B$18)^5),"")</f>
        <v>85574.390861348642</v>
      </c>
      <c r="C170" s="17">
        <f>IFERROR(('Table G'!$B$14+'Table G'!$B$15)/(1+'Table G'!$B$18)*IF(ABS(((1+$A170)/(1+'Table G'!$B$18))-1)&lt;0.000000001,10,(1-((1+$A170)/(1+'Table G'!$B$18))^10)/(1-((1+$A170)/(1+'Table G'!$B$18))))+('Table G'!$B$14+'Table G'!$B$15)*(1+$A170)^(10-1)*(1+'Table G'!$B$25)/(('Table G'!$B$18-'Table G'!$B$25)*(1+'Table G'!$B$18)^10),"")</f>
        <v>101815.02774182675</v>
      </c>
      <c r="D170" s="17">
        <f>IFERROR(('Table G'!$B$14+'Table G'!$B$15)/(1+'Table G'!$B$18)*IF(ABS(((1+$A170)/(1+'Table G'!$B$18))-1)&lt;0.000000001,5,(1-((1+$A170)/(1+'Table G'!$B$18))^5)/(1-((1+$A170)/(1+'Table G'!$B$18))))+('Table G'!$B$14+'Table G'!$B$15)*(1+$A170)^(5-1)*(1+'Table G'!$B$26)/(('Table G'!$B$18-'Table G'!$B$26)*(1+'Table G'!$B$18)^5),"")</f>
        <v>91020.009484677794</v>
      </c>
      <c r="E170" s="17">
        <f>IFERROR(('Table G'!$B$14+'Table G'!$B$15)/(1+'Table G'!$B$18)*IF(ABS(((1+$A170)/(1+'Table G'!$B$18))-1)&lt;0.000000001,10,(1-((1+$A170)/(1+'Table G'!$B$18))^10)/(1-((1+$A170)/(1+'Table G'!$B$18))))+('Table G'!$B$14+'Table G'!$B$15)*(1+$A170)^(10-1)*(1+'Table G'!$B$26)/(('Table G'!$B$18-'Table G'!$B$26)*(1+'Table G'!$B$18)^10),"")</f>
        <v>106906.23646980271</v>
      </c>
      <c r="F170" s="17">
        <f>IFERROR(('Table G'!$B$14+'Table G'!$B$15)/(1+'Table G'!$B$18)*IF(ABS(((1+$A170)/(1+'Table G'!$B$18))-1)&lt;0.000000001,5,(1-((1+$A170)/(1+'Table G'!$B$18))^5)/(1-((1+$A170)/(1+'Table G'!$B$18))))+('Table G'!$B$14+'Table G'!$B$15)*(1+$A170)^(5-1)*(1+'Table G'!$B$27)/(('Table G'!$B$18-'Table G'!$B$27)*(1+'Table G'!$B$18)^5),"")</f>
        <v>97413.606988481566</v>
      </c>
      <c r="G170" s="17">
        <f>IFERROR(('Table G'!$B$14+'Table G'!$B$15)/(1+'Table G'!$B$18)*IF(ABS(((1+$A170)/(1+'Table G'!$B$18))-1)&lt;0.000000001,10,(1-((1+$A170)/(1+'Table G'!$B$18))^10)/(1-((1+$A170)/(1+'Table G'!$B$18))))+('Table G'!$B$14+'Table G'!$B$15)*(1+$A170)^(10-1)*(1+'Table G'!$B$27)/(('Table G'!$B$18-'Table G'!$B$27)*(1+'Table G'!$B$18)^10),"")</f>
        <v>112883.72803982953</v>
      </c>
    </row>
    <row r="171" spans="1:7" x14ac:dyDescent="0.2">
      <c r="A171" s="8">
        <f>-0.1+167*$B$2</f>
        <v>6.7000000000000004E-2</v>
      </c>
      <c r="B171" s="17">
        <f>IFERROR(('Table G'!$B$14+'Table G'!$B$15)/(1+'Table G'!$B$18)*IF(ABS(((1+$A171)/(1+'Table G'!$B$18))-1)&lt;0.000000001,5,(1-((1+$A171)/(1+'Table G'!$B$18))^5)/(1-((1+$A171)/(1+'Table G'!$B$18))))+('Table G'!$B$14+'Table G'!$B$15)*(1+$A171)^(5-1)*(1+'Table G'!$B$25)/(('Table G'!$B$18-'Table G'!$B$25)*(1+'Table G'!$B$18)^5),"")</f>
        <v>85854.400089620089</v>
      </c>
      <c r="C171" s="17">
        <f>IFERROR(('Table G'!$B$14+'Table G'!$B$15)/(1+'Table G'!$B$18)*IF(ABS(((1+$A171)/(1+'Table G'!$B$18))-1)&lt;0.000000001,10,(1-((1+$A171)/(1+'Table G'!$B$18))^10)/(1-((1+$A171)/(1+'Table G'!$B$18))))+('Table G'!$B$14+'Table G'!$B$15)*(1+$A171)^(10-1)*(1+'Table G'!$B$25)/(('Table G'!$B$18-'Table G'!$B$25)*(1+'Table G'!$B$18)^10),"")</f>
        <v>102494.41288250874</v>
      </c>
      <c r="D171" s="17">
        <f>IFERROR(('Table G'!$B$14+'Table G'!$B$15)/(1+'Table G'!$B$18)*IF(ABS(((1+$A171)/(1+'Table G'!$B$18))-1)&lt;0.000000001,5,(1-((1+$A171)/(1+'Table G'!$B$18))^5)/(1-((1+$A171)/(1+'Table G'!$B$18))))+('Table G'!$B$14+'Table G'!$B$15)*(1+$A171)^(5-1)*(1+'Table G'!$B$26)/(('Table G'!$B$18-'Table G'!$B$26)*(1+'Table G'!$B$18)^5),"")</f>
        <v>91320.481324983004</v>
      </c>
      <c r="E171" s="17">
        <f>IFERROR(('Table G'!$B$14+'Table G'!$B$15)/(1+'Table G'!$B$18)*IF(ABS(((1+$A171)/(1+'Table G'!$B$18))-1)&lt;0.000000001,10,(1-((1+$A171)/(1+'Table G'!$B$18))^10)/(1-((1+$A171)/(1+'Table G'!$B$18))))+('Table G'!$B$14+'Table G'!$B$15)*(1+$A171)^(10-1)*(1+'Table G'!$B$26)/(('Table G'!$B$18-'Table G'!$B$26)*(1+'Table G'!$B$18)^10),"")</f>
        <v>107628.767193206</v>
      </c>
      <c r="F171" s="17">
        <f>IFERROR(('Table G'!$B$14+'Table G'!$B$15)/(1+'Table G'!$B$18)*IF(ABS(((1+$A171)/(1+'Table G'!$B$18))-1)&lt;0.000000001,5,(1-((1+$A171)/(1+'Table G'!$B$18))^5)/(1-((1+$A171)/(1+'Table G'!$B$18))))+('Table G'!$B$14+'Table G'!$B$15)*(1+$A171)^(5-1)*(1+'Table G'!$B$27)/(('Table G'!$B$18-'Table G'!$B$27)*(1+'Table G'!$B$18)^5),"")</f>
        <v>97738.10359333051</v>
      </c>
      <c r="G171" s="17">
        <f>IFERROR(('Table G'!$B$14+'Table G'!$B$15)/(1+'Table G'!$B$18)*IF(ABS(((1+$A171)/(1+'Table G'!$B$18))-1)&lt;0.000000001,10,(1-((1+$A171)/(1+'Table G'!$B$18))^10)/(1-((1+$A171)/(1+'Table G'!$B$18))))+('Table G'!$B$14+'Table G'!$B$15)*(1+$A171)^(10-1)*(1+'Table G'!$B$27)/(('Table G'!$B$18-'Table G'!$B$27)*(1+'Table G'!$B$18)^10),"")</f>
        <v>113656.91517328798</v>
      </c>
    </row>
    <row r="172" spans="1:7" x14ac:dyDescent="0.2">
      <c r="A172" s="8">
        <f>-0.1+168*$B$2</f>
        <v>6.8000000000000005E-2</v>
      </c>
      <c r="B172" s="17">
        <f>IFERROR(('Table G'!$B$14+'Table G'!$B$15)/(1+'Table G'!$B$18)*IF(ABS(((1+$A172)/(1+'Table G'!$B$18))-1)&lt;0.000000001,5,(1-((1+$A172)/(1+'Table G'!$B$18))^5)/(1-((1+$A172)/(1+'Table G'!$B$18))))+('Table G'!$B$14+'Table G'!$B$15)*(1+$A172)^(5-1)*(1+'Table G'!$B$25)/(('Table G'!$B$18-'Table G'!$B$25)*(1+'Table G'!$B$18)^5),"")</f>
        <v>86135.159270935881</v>
      </c>
      <c r="C172" s="17">
        <f>IFERROR(('Table G'!$B$14+'Table G'!$B$15)/(1+'Table G'!$B$18)*IF(ABS(((1+$A172)/(1+'Table G'!$B$18))-1)&lt;0.000000001,10,(1-((1+$A172)/(1+'Table G'!$B$18))^10)/(1-((1+$A172)/(1+'Table G'!$B$18))))+('Table G'!$B$14+'Table G'!$B$15)*(1+$A172)^(10-1)*(1+'Table G'!$B$25)/(('Table G'!$B$18-'Table G'!$B$25)*(1+'Table G'!$B$18)^10),"")</f>
        <v>103178.46279702403</v>
      </c>
      <c r="D172" s="17">
        <f>IFERROR(('Table G'!$B$14+'Table G'!$B$15)/(1+'Table G'!$B$18)*IF(ABS(((1+$A172)/(1+'Table G'!$B$18))-1)&lt;0.000000001,5,(1-((1+$A172)/(1+'Table G'!$B$18))^5)/(1-((1+$A172)/(1+'Table G'!$B$18))))+('Table G'!$B$14+'Table G'!$B$15)*(1+$A172)^(5-1)*(1+'Table G'!$B$26)/(('Table G'!$B$18-'Table G'!$B$26)*(1+'Table G'!$B$18)^5),"")</f>
        <v>91621.760732402123</v>
      </c>
      <c r="E172" s="17">
        <f>IFERROR(('Table G'!$B$14+'Table G'!$B$15)/(1+'Table G'!$B$18)*IF(ABS(((1+$A172)/(1+'Table G'!$B$18))-1)&lt;0.000000001,10,(1-((1+$A172)/(1+'Table G'!$B$18))^10)/(1-((1+$A172)/(1+'Table G'!$B$18))))+('Table G'!$B$14+'Table G'!$B$15)*(1+$A172)^(10-1)*(1+'Table G'!$B$26)/(('Table G'!$B$18-'Table G'!$B$26)*(1+'Table G'!$B$18)^10),"")</f>
        <v>108356.28739682701</v>
      </c>
      <c r="F172" s="17">
        <f>IFERROR(('Table G'!$B$14+'Table G'!$B$15)/(1+'Table G'!$B$18)*IF(ABS(((1+$A172)/(1+'Table G'!$B$18))-1)&lt;0.000000001,5,(1-((1+$A172)/(1+'Table G'!$B$18))^5)/(1-((1+$A172)/(1+'Table G'!$B$18))))+('Table G'!$B$14+'Table G'!$B$15)*(1+$A172)^(5-1)*(1+'Table G'!$B$27)/(('Table G'!$B$18-'Table G'!$B$27)*(1+'Table G'!$B$18)^5),"")</f>
        <v>98063.475408879269</v>
      </c>
      <c r="G172" s="17">
        <f>IFERROR(('Table G'!$B$14+'Table G'!$B$15)/(1+'Table G'!$B$18)*IF(ABS(((1+$A172)/(1+'Table G'!$B$18))-1)&lt;0.000000001,10,(1-((1+$A172)/(1+'Table G'!$B$18))^10)/(1-((1+$A172)/(1+'Table G'!$B$18))))+('Table G'!$B$14+'Table G'!$B$15)*(1+$A172)^(10-1)*(1+'Table G'!$B$27)/(('Table G'!$B$18-'Table G'!$B$27)*(1+'Table G'!$B$18)^10),"")</f>
        <v>114435.47301856926</v>
      </c>
    </row>
    <row r="173" spans="1:7" x14ac:dyDescent="0.2">
      <c r="A173" s="8">
        <f>-0.1+169*$B$2</f>
        <v>6.9000000000000006E-2</v>
      </c>
      <c r="B173" s="17">
        <f>IFERROR(('Table G'!$B$14+'Table G'!$B$15)/(1+'Table G'!$B$18)*IF(ABS(((1+$A173)/(1+'Table G'!$B$18))-1)&lt;0.000000001,5,(1-((1+$A173)/(1+'Table G'!$B$18))^5)/(1-((1+$A173)/(1+'Table G'!$B$18))))+('Table G'!$B$14+'Table G'!$B$15)*(1+$A173)^(5-1)*(1+'Table G'!$B$25)/(('Table G'!$B$18-'Table G'!$B$25)*(1+'Table G'!$B$18)^5),"")</f>
        <v>86416.66977595014</v>
      </c>
      <c r="C173" s="17">
        <f>IFERROR(('Table G'!$B$14+'Table G'!$B$15)/(1+'Table G'!$B$18)*IF(ABS(((1+$A173)/(1+'Table G'!$B$18))-1)&lt;0.000000001,10,(1-((1+$A173)/(1+'Table G'!$B$18))^10)/(1-((1+$A173)/(1+'Table G'!$B$18))))+('Table G'!$B$14+'Table G'!$B$15)*(1+$A173)^(10-1)*(1+'Table G'!$B$25)/(('Table G'!$B$18-'Table G'!$B$25)*(1+'Table G'!$B$18)^10),"")</f>
        <v>103867.20672364425</v>
      </c>
      <c r="D173" s="17">
        <f>IFERROR(('Table G'!$B$14+'Table G'!$B$15)/(1+'Table G'!$B$18)*IF(ABS(((1+$A173)/(1+'Table G'!$B$18))-1)&lt;0.000000001,5,(1-((1+$A173)/(1+'Table G'!$B$18))^5)/(1-((1+$A173)/(1+'Table G'!$B$18))))+('Table G'!$B$14+'Table G'!$B$15)*(1+$A173)^(5-1)*(1+'Table G'!$B$26)/(('Table G'!$B$18-'Table G'!$B$26)*(1+'Table G'!$B$18)^5),"")</f>
        <v>91923.849185632454</v>
      </c>
      <c r="E173" s="17">
        <f>IFERROR(('Table G'!$B$14+'Table G'!$B$15)/(1+'Table G'!$B$18)*IF(ABS(((1+$A173)/(1+'Table G'!$B$18))-1)&lt;0.000000001,10,(1-((1+$A173)/(1+'Table G'!$B$18))^10)/(1-((1+$A173)/(1+'Table G'!$B$18))))+('Table G'!$B$14+'Table G'!$B$15)*(1+$A173)^(10-1)*(1+'Table G'!$B$26)/(('Table G'!$B$18-'Table G'!$B$26)*(1+'Table G'!$B$18)^10),"")</f>
        <v>109088.82845515414</v>
      </c>
      <c r="F173" s="17">
        <f>IFERROR(('Table G'!$B$14+'Table G'!$B$15)/(1+'Table G'!$B$18)*IF(ABS(((1+$A173)/(1+'Table G'!$B$18))-1)&lt;0.000000001,5,(1-((1+$A173)/(1+'Table G'!$B$18))^5)/(1-((1+$A173)/(1+'Table G'!$B$18))))+('Table G'!$B$14+'Table G'!$B$15)*(1+$A173)^(5-1)*(1+'Table G'!$B$27)/(('Table G'!$B$18-'Table G'!$B$27)*(1+'Table G'!$B$18)^5),"")</f>
        <v>98389.724040676694</v>
      </c>
      <c r="G173" s="17">
        <f>IFERROR(('Table G'!$B$14+'Table G'!$B$15)/(1+'Table G'!$B$18)*IF(ABS(((1+$A173)/(1+'Table G'!$B$18))-1)&lt;0.000000001,10,(1-((1+$A173)/(1+'Table G'!$B$18))^10)/(1-((1+$A173)/(1+'Table G'!$B$18))))+('Table G'!$B$14+'Table G'!$B$15)*(1+$A173)^(10-1)*(1+'Table G'!$B$27)/(('Table G'!$B$18-'Table G'!$B$27)*(1+'Table G'!$B$18)^10),"")</f>
        <v>115219.43545825336</v>
      </c>
    </row>
    <row r="174" spans="1:7" x14ac:dyDescent="0.2">
      <c r="A174" s="8">
        <f>-0.1+170*$B$2</f>
        <v>7.0000000000000007E-2</v>
      </c>
      <c r="B174" s="17">
        <f>IFERROR(('Table G'!$B$14+'Table G'!$B$15)/(1+'Table G'!$B$18)*IF(ABS(((1+$A174)/(1+'Table G'!$B$18))-1)&lt;0.000000001,5,(1-((1+$A174)/(1+'Table G'!$B$18))^5)/(1-((1+$A174)/(1+'Table G'!$B$18))))+('Table G'!$B$14+'Table G'!$B$15)*(1+$A174)^(5-1)*(1+'Table G'!$B$25)/(('Table G'!$B$18-'Table G'!$B$25)*(1+'Table G'!$B$18)^5),"")</f>
        <v>86698.932976581156</v>
      </c>
      <c r="C174" s="17">
        <f>IFERROR(('Table G'!$B$14+'Table G'!$B$15)/(1+'Table G'!$B$18)*IF(ABS(((1+$A174)/(1+'Table G'!$B$18))-1)&lt;0.000000001,10,(1-((1+$A174)/(1+'Table G'!$B$18))^10)/(1-((1+$A174)/(1+'Table G'!$B$18))))+('Table G'!$B$14+'Table G'!$B$15)*(1+$A174)^(10-1)*(1+'Table G'!$B$25)/(('Table G'!$B$18-'Table G'!$B$25)*(1+'Table G'!$B$18)^10),"")</f>
        <v>104560.67406051097</v>
      </c>
      <c r="D174" s="17">
        <f>IFERROR(('Table G'!$B$14+'Table G'!$B$15)/(1+'Table G'!$B$18)*IF(ABS(((1+$A174)/(1+'Table G'!$B$18))-1)&lt;0.000000001,5,(1-((1+$A174)/(1+'Table G'!$B$18))^5)/(1-((1+$A174)/(1+'Table G'!$B$18))))+('Table G'!$B$14+'Table G'!$B$15)*(1+$A174)^(5-1)*(1+'Table G'!$B$26)/(('Table G'!$B$18-'Table G'!$B$26)*(1+'Table G'!$B$18)^5),"")</f>
        <v>92226.748164736768</v>
      </c>
      <c r="E174" s="17">
        <f>IFERROR(('Table G'!$B$14+'Table G'!$B$15)/(1+'Table G'!$B$18)*IF(ABS(((1+$A174)/(1+'Table G'!$B$18))-1)&lt;0.000000001,10,(1-((1+$A174)/(1+'Table G'!$B$18))^10)/(1-((1+$A174)/(1+'Table G'!$B$18))))+('Table G'!$B$14+'Table G'!$B$15)*(1+$A174)^(10-1)*(1+'Table G'!$B$26)/(('Table G'!$B$18-'Table G'!$B$26)*(1+'Table G'!$B$18)^10),"")</f>
        <v>109826.42191458071</v>
      </c>
      <c r="F174" s="17">
        <f>IFERROR(('Table G'!$B$14+'Table G'!$B$15)/(1+'Table G'!$B$18)*IF(ABS(((1+$A174)/(1+'Table G'!$B$18))-1)&lt;0.000000001,5,(1-((1+$A174)/(1+'Table G'!$B$18))^5)/(1-((1+$A174)/(1+'Table G'!$B$18))))+('Table G'!$B$14+'Table G'!$B$15)*(1+$A174)^(5-1)*(1+'Table G'!$B$27)/(('Table G'!$B$18-'Table G'!$B$27)*(1+'Table G'!$B$18)^5),"")</f>
        <v>98716.851095755817</v>
      </c>
      <c r="G174" s="17">
        <f>IFERROR(('Table G'!$B$14+'Table G'!$B$15)/(1+'Table G'!$B$18)*IF(ABS(((1+$A174)/(1+'Table G'!$B$18))-1)&lt;0.000000001,10,(1-((1+$A174)/(1+'Table G'!$B$18))^10)/(1-((1+$A174)/(1+'Table G'!$B$18))))+('Table G'!$B$14+'Table G'!$B$15)*(1+$A174)^(10-1)*(1+'Table G'!$B$27)/(('Table G'!$B$18-'Table G'!$B$27)*(1+'Table G'!$B$18)^10),"")</f>
        <v>116008.83656095533</v>
      </c>
    </row>
    <row r="175" spans="1:7" x14ac:dyDescent="0.2">
      <c r="A175" s="8">
        <f>-0.1+171*$B$2</f>
        <v>7.1000000000000008E-2</v>
      </c>
      <c r="B175" s="17">
        <f>IFERROR(('Table G'!$B$14+'Table G'!$B$15)/(1+'Table G'!$B$18)*IF(ABS(((1+$A175)/(1+'Table G'!$B$18))-1)&lt;0.000000001,5,(1-((1+$A175)/(1+'Table G'!$B$18))^5)/(1-((1+$A175)/(1+'Table G'!$B$18))))+('Table G'!$B$14+'Table G'!$B$15)*(1+$A175)^(5-1)*(1+'Table G'!$B$25)/(('Table G'!$B$18-'Table G'!$B$25)*(1+'Table G'!$B$18)^5),"")</f>
        <v>86981.950246010892</v>
      </c>
      <c r="C175" s="17">
        <f>IFERROR(('Table G'!$B$14+'Table G'!$B$15)/(1+'Table G'!$B$18)*IF(ABS(((1+$A175)/(1+'Table G'!$B$18))-1)&lt;0.000000001,10,(1-((1+$A175)/(1+'Table G'!$B$18))^10)/(1-((1+$A175)/(1+'Table G'!$B$18))))+('Table G'!$B$14+'Table G'!$B$15)*(1+$A175)^(10-1)*(1+'Table G'!$B$25)/(('Table G'!$B$18-'Table G'!$B$25)*(1+'Table G'!$B$18)^10),"")</f>
        <v>105258.89436636947</v>
      </c>
      <c r="D175" s="17">
        <f>IFERROR(('Table G'!$B$14+'Table G'!$B$15)/(1+'Table G'!$B$18)*IF(ABS(((1+$A175)/(1+'Table G'!$B$18))-1)&lt;0.000000001,5,(1-((1+$A175)/(1+'Table G'!$B$18))^5)/(1-((1+$A175)/(1+'Table G'!$B$18))))+('Table G'!$B$14+'Table G'!$B$15)*(1+$A175)^(5-1)*(1+'Table G'!$B$26)/(('Table G'!$B$18-'Table G'!$B$26)*(1+'Table G'!$B$18)^5),"")</f>
        <v>92530.459151142655</v>
      </c>
      <c r="E175" s="17">
        <f>IFERROR(('Table G'!$B$14+'Table G'!$B$15)/(1+'Table G'!$B$18)*IF(ABS(((1+$A175)/(1+'Table G'!$B$18))-1)&lt;0.000000001,10,(1-((1+$A175)/(1+'Table G'!$B$18))^10)/(1-((1+$A175)/(1+'Table G'!$B$18))))+('Table G'!$B$14+'Table G'!$B$15)*(1+$A175)^(10-1)*(1+'Table G'!$B$26)/(('Table G'!$B$18-'Table G'!$B$26)*(1+'Table G'!$B$18)^10),"")</f>
        <v>110569.09949419525</v>
      </c>
      <c r="F175" s="17">
        <f>IFERROR(('Table G'!$B$14+'Table G'!$B$15)/(1+'Table G'!$B$18)*IF(ABS(((1+$A175)/(1+'Table G'!$B$18))-1)&lt;0.000000001,5,(1-((1+$A175)/(1+'Table G'!$B$18))^5)/(1-((1+$A175)/(1+'Table G'!$B$18))))+('Table G'!$B$14+'Table G'!$B$15)*(1+$A175)^(5-1)*(1+'Table G'!$B$27)/(('Table G'!$B$18-'Table G'!$B$27)*(1+'Table G'!$B$18)^5),"")</f>
        <v>99044.858182633427</v>
      </c>
      <c r="G175" s="17">
        <f>IFERROR(('Table G'!$B$14+'Table G'!$B$15)/(1+'Table G'!$B$18)*IF(ABS(((1+$A175)/(1+'Table G'!$B$18))-1)&lt;0.000000001,10,(1-((1+$A175)/(1+'Table G'!$B$18))^10)/(1-((1+$A175)/(1+'Table G'!$B$18))))+('Table G'!$B$14+'Table G'!$B$15)*(1+$A175)^(10-1)*(1+'Table G'!$B$27)/(('Table G'!$B$18-'Table G'!$B$27)*(1+'Table G'!$B$18)^10),"")</f>
        <v>116803.71058218164</v>
      </c>
    </row>
    <row r="176" spans="1:7" x14ac:dyDescent="0.2">
      <c r="A176" s="8">
        <f>-0.1+172*$B$2</f>
        <v>7.2000000000000008E-2</v>
      </c>
      <c r="B176" s="17">
        <f>IFERROR(('Table G'!$B$14+'Table G'!$B$15)/(1+'Table G'!$B$18)*IF(ABS(((1+$A176)/(1+'Table G'!$B$18))-1)&lt;0.000000001,5,(1-((1+$A176)/(1+'Table G'!$B$18))^5)/(1-((1+$A176)/(1+'Table G'!$B$18))))+('Table G'!$B$14+'Table G'!$B$15)*(1+$A176)^(5-1)*(1+'Table G'!$B$25)/(('Table G'!$B$18-'Table G'!$B$25)*(1+'Table G'!$B$18)^5),"")</f>
        <v>87265.722958685714</v>
      </c>
      <c r="C176" s="17">
        <f>IFERROR(('Table G'!$B$14+'Table G'!$B$15)/(1+'Table G'!$B$18)*IF(ABS(((1+$A176)/(1+'Table G'!$B$18))-1)&lt;0.000000001,10,(1-((1+$A176)/(1+'Table G'!$B$18))^10)/(1-((1+$A176)/(1+'Table G'!$B$18))))+('Table G'!$B$14+'Table G'!$B$15)*(1+$A176)^(10-1)*(1+'Table G'!$B$25)/(('Table G'!$B$18-'Table G'!$B$25)*(1+'Table G'!$B$18)^10),"")</f>
        <v>105961.89736130723</v>
      </c>
      <c r="D176" s="17">
        <f>IFERROR(('Table G'!$B$14+'Table G'!$B$15)/(1+'Table G'!$B$18)*IF(ABS(((1+$A176)/(1+'Table G'!$B$18))-1)&lt;0.000000001,5,(1-((1+$A176)/(1+'Table G'!$B$18))^5)/(1-((1+$A176)/(1+'Table G'!$B$18))))+('Table G'!$B$14+'Table G'!$B$15)*(1+$A176)^(5-1)*(1+'Table G'!$B$26)/(('Table G'!$B$18-'Table G'!$B$26)*(1+'Table G'!$B$18)^5),"")</f>
        <v>92834.983627643349</v>
      </c>
      <c r="E176" s="17">
        <f>IFERROR(('Table G'!$B$14+'Table G'!$B$15)/(1+'Table G'!$B$18)*IF(ABS(((1+$A176)/(1+'Table G'!$B$18))-1)&lt;0.000000001,10,(1-((1+$A176)/(1+'Table G'!$B$18))^10)/(1-((1+$A176)/(1+'Table G'!$B$18))))+('Table G'!$B$14+'Table G'!$B$15)*(1+$A176)^(10-1)*(1+'Table G'!$B$26)/(('Table G'!$B$18-'Table G'!$B$26)*(1+'Table G'!$B$18)^10),"")</f>
        <v>111316.89308657657</v>
      </c>
      <c r="F176" s="17">
        <f>IFERROR(('Table G'!$B$14+'Table G'!$B$15)/(1+'Table G'!$B$18)*IF(ABS(((1+$A176)/(1+'Table G'!$B$18))-1)&lt;0.000000001,5,(1-((1+$A176)/(1+'Table G'!$B$18))^5)/(1-((1+$A176)/(1+'Table G'!$B$18))))+('Table G'!$B$14+'Table G'!$B$15)*(1+$A176)^(5-1)*(1+'Table G'!$B$27)/(('Table G'!$B$18-'Table G'!$B$27)*(1+'Table G'!$B$18)^5),"")</f>
        <v>99373.746911310736</v>
      </c>
      <c r="G176" s="17">
        <f>IFERROR(('Table G'!$B$14+'Table G'!$B$15)/(1+'Table G'!$B$18)*IF(ABS(((1+$A176)/(1+'Table G'!$B$18))-1)&lt;0.000000001,10,(1-((1+$A176)/(1+'Table G'!$B$18))^10)/(1-((1+$A176)/(1+'Table G'!$B$18))))+('Table G'!$B$14+'Table G'!$B$15)*(1+$A176)^(10-1)*(1+'Table G'!$B$27)/(('Table G'!$B$18-'Table G'!$B$27)*(1+'Table G'!$B$18)^10),"")</f>
        <v>117604.09196519194</v>
      </c>
    </row>
    <row r="177" spans="1:7" x14ac:dyDescent="0.2">
      <c r="A177" s="8">
        <f>-0.1+173*$B$2</f>
        <v>7.3000000000000009E-2</v>
      </c>
      <c r="B177" s="17">
        <f>IFERROR(('Table G'!$B$14+'Table G'!$B$15)/(1+'Table G'!$B$18)*IF(ABS(((1+$A177)/(1+'Table G'!$B$18))-1)&lt;0.000000001,5,(1-((1+$A177)/(1+'Table G'!$B$18))^5)/(1-((1+$A177)/(1+'Table G'!$B$18))))+('Table G'!$B$14+'Table G'!$B$15)*(1+$A177)^(5-1)*(1+'Table G'!$B$25)/(('Table G'!$B$18-'Table G'!$B$25)*(1+'Table G'!$B$18)^5),"")</f>
        <v>87550.25249031547</v>
      </c>
      <c r="C177" s="17">
        <f>IFERROR(('Table G'!$B$14+'Table G'!$B$15)/(1+'Table G'!$B$18)*IF(ABS(((1+$A177)/(1+'Table G'!$B$18))-1)&lt;0.000000001,10,(1-((1+$A177)/(1+'Table G'!$B$18))^10)/(1-((1+$A177)/(1+'Table G'!$B$18))))+('Table G'!$B$14+'Table G'!$B$15)*(1+$A177)^(10-1)*(1+'Table G'!$B$25)/(('Table G'!$B$18-'Table G'!$B$25)*(1+'Table G'!$B$18)^10),"")</f>
        <v>106669.71292749299</v>
      </c>
      <c r="D177" s="17">
        <f>IFERROR(('Table G'!$B$14+'Table G'!$B$15)/(1+'Table G'!$B$18)*IF(ABS(((1+$A177)/(1+'Table G'!$B$18))-1)&lt;0.000000001,5,(1-((1+$A177)/(1+'Table G'!$B$18))^5)/(1-((1+$A177)/(1+'Table G'!$B$18))))+('Table G'!$B$14+'Table G'!$B$15)*(1+$A177)^(5-1)*(1+'Table G'!$B$26)/(('Table G'!$B$18-'Table G'!$B$26)*(1+'Table G'!$B$18)^5),"")</f>
        <v>93140.32307839673</v>
      </c>
      <c r="E177" s="17">
        <f>IFERROR(('Table G'!$B$14+'Table G'!$B$15)/(1+'Table G'!$B$18)*IF(ABS(((1+$A177)/(1+'Table G'!$B$18))-1)&lt;0.000000001,10,(1-((1+$A177)/(1+'Table G'!$B$18))^10)/(1-((1+$A177)/(1+'Table G'!$B$18))))+('Table G'!$B$14+'Table G'!$B$15)*(1+$A177)^(10-1)*(1+'Table G'!$B$26)/(('Table G'!$B$18-'Table G'!$B$26)*(1+'Table G'!$B$18)^10),"")</f>
        <v>112069.83475858966</v>
      </c>
      <c r="F177" s="17">
        <f>IFERROR(('Table G'!$B$14+'Table G'!$B$15)/(1+'Table G'!$B$18)*IF(ABS(((1+$A177)/(1+'Table G'!$B$18))-1)&lt;0.000000001,5,(1-((1+$A177)/(1+'Table G'!$B$18))^5)/(1-((1+$A177)/(1+'Table G'!$B$18))))+('Table G'!$B$14+'Table G'!$B$15)*(1+$A177)^(5-1)*(1+'Table G'!$B$27)/(('Table G'!$B$18-'Table G'!$B$27)*(1+'Table G'!$B$18)^5),"")</f>
        <v>99703.51889327247</v>
      </c>
      <c r="G177" s="17">
        <f>IFERROR(('Table G'!$B$14+'Table G'!$B$15)/(1+'Table G'!$B$18)*IF(ABS(((1+$A177)/(1+'Table G'!$B$18))-1)&lt;0.000000001,10,(1-((1+$A177)/(1+'Table G'!$B$18))^10)/(1-((1+$A177)/(1+'Table G'!$B$18))))+('Table G'!$B$14+'Table G'!$B$15)*(1+$A177)^(10-1)*(1+'Table G'!$B$27)/(('Table G'!$B$18-'Table G'!$B$27)*(1+'Table G'!$B$18)^10),"")</f>
        <v>118410.01534186167</v>
      </c>
    </row>
    <row r="178" spans="1:7" x14ac:dyDescent="0.2">
      <c r="A178" s="8">
        <f>-0.1+174*$B$2</f>
        <v>7.400000000000001E-2</v>
      </c>
      <c r="B178" s="17">
        <f>IFERROR(('Table G'!$B$14+'Table G'!$B$15)/(1+'Table G'!$B$18)*IF(ABS(((1+$A178)/(1+'Table G'!$B$18))-1)&lt;0.000000001,5,(1-((1+$A178)/(1+'Table G'!$B$18))^5)/(1-((1+$A178)/(1+'Table G'!$B$18))))+('Table G'!$B$14+'Table G'!$B$15)*(1+$A178)^(5-1)*(1+'Table G'!$B$25)/(('Table G'!$B$18-'Table G'!$B$25)*(1+'Table G'!$B$18)^5),"")</f>
        <v>87835.540217874644</v>
      </c>
      <c r="C178" s="17">
        <f>IFERROR(('Table G'!$B$14+'Table G'!$B$15)/(1+'Table G'!$B$18)*IF(ABS(((1+$A178)/(1+'Table G'!$B$18))-1)&lt;0.000000001,10,(1-((1+$A178)/(1+'Table G'!$B$18))^10)/(1-((1+$A178)/(1+'Table G'!$B$18))))+('Table G'!$B$14+'Table G'!$B$15)*(1+$A178)^(10-1)*(1+'Table G'!$B$25)/(('Table G'!$B$18-'Table G'!$B$25)*(1+'Table G'!$B$18)^10),"")</f>
        <v>107382.37110992178</v>
      </c>
      <c r="D178" s="17">
        <f>IFERROR(('Table G'!$B$14+'Table G'!$B$15)/(1+'Table G'!$B$18)*IF(ABS(((1+$A178)/(1+'Table G'!$B$18))-1)&lt;0.000000001,5,(1-((1+$A178)/(1+'Table G'!$B$18))^5)/(1-((1+$A178)/(1+'Table G'!$B$18))))+('Table G'!$B$14+'Table G'!$B$15)*(1+$A178)^(5-1)*(1+'Table G'!$B$26)/(('Table G'!$B$18-'Table G'!$B$26)*(1+'Table G'!$B$18)^5),"")</f>
        <v>93446.478988926596</v>
      </c>
      <c r="E178" s="17">
        <f>IFERROR(('Table G'!$B$14+'Table G'!$B$15)/(1+'Table G'!$B$18)*IF(ABS(((1+$A178)/(1+'Table G'!$B$18))-1)&lt;0.000000001,10,(1-((1+$A178)/(1+'Table G'!$B$18))^10)/(1-((1+$A178)/(1+'Table G'!$B$18))))+('Table G'!$B$14+'Table G'!$B$15)*(1+$A178)^(10-1)*(1+'Table G'!$B$26)/(('Table G'!$B$18-'Table G'!$B$26)*(1+'Table G'!$B$18)^10),"")</f>
        <v>112827.95675218786</v>
      </c>
      <c r="F178" s="17">
        <f>IFERROR(('Table G'!$B$14+'Table G'!$B$15)/(1+'Table G'!$B$18)*IF(ABS(((1+$A178)/(1+'Table G'!$B$18))-1)&lt;0.000000001,5,(1-((1+$A178)/(1+'Table G'!$B$18))^5)/(1-((1+$A178)/(1+'Table G'!$B$18))))+('Table G'!$B$14+'Table G'!$B$15)*(1+$A178)^(5-1)*(1+'Table G'!$B$27)/(('Table G'!$B$18-'Table G'!$B$27)*(1+'Table G'!$B$18)^5),"")</f>
        <v>100034.17574148804</v>
      </c>
      <c r="G178" s="17">
        <f>IFERROR(('Table G'!$B$14+'Table G'!$B$15)/(1+'Table G'!$B$18)*IF(ABS(((1+$A178)/(1+'Table G'!$B$18))-1)&lt;0.000000001,10,(1-((1+$A178)/(1+'Table G'!$B$18))^10)/(1-((1+$A178)/(1+'Table G'!$B$18))))+('Table G'!$B$14+'Table G'!$B$15)*(1+$A178)^(10-1)*(1+'Table G'!$B$27)/(('Table G'!$B$18-'Table G'!$B$27)*(1+'Table G'!$B$18)^10),"")</f>
        <v>119221.51553355128</v>
      </c>
    </row>
    <row r="179" spans="1:7" x14ac:dyDescent="0.2">
      <c r="A179" s="8">
        <f>-0.1+175*$B$2</f>
        <v>7.5000000000000011E-2</v>
      </c>
      <c r="B179" s="17">
        <f>IFERROR(('Table G'!$B$14+'Table G'!$B$15)/(1+'Table G'!$B$18)*IF(ABS(((1+$A179)/(1+'Table G'!$B$18))-1)&lt;0.000000001,5,(1-((1+$A179)/(1+'Table G'!$B$18))^5)/(1-((1+$A179)/(1+'Table G'!$B$18))))+('Table G'!$B$14+'Table G'!$B$15)*(1+$A179)^(5-1)*(1+'Table G'!$B$25)/(('Table G'!$B$18-'Table G'!$B$25)*(1+'Table G'!$B$18)^5),"")</f>
        <v>88121.587519601482</v>
      </c>
      <c r="C179" s="17">
        <f>IFERROR(('Table G'!$B$14+'Table G'!$B$15)/(1+'Table G'!$B$18)*IF(ABS(((1+$A179)/(1+'Table G'!$B$18))-1)&lt;0.000000001,10,(1-((1+$A179)/(1+'Table G'!$B$18))^10)/(1-((1+$A179)/(1+'Table G'!$B$18))))+('Table G'!$B$14+'Table G'!$B$15)*(1+$A179)^(10-1)*(1+'Table G'!$B$25)/(('Table G'!$B$18-'Table G'!$B$25)*(1+'Table G'!$B$18)^10),"")</f>
        <v>108099.90211715852</v>
      </c>
      <c r="D179" s="17">
        <f>IFERROR(('Table G'!$B$14+'Table G'!$B$15)/(1+'Table G'!$B$18)*IF(ABS(((1+$A179)/(1+'Table G'!$B$18))-1)&lt;0.000000001,5,(1-((1+$A179)/(1+'Table G'!$B$18))^5)/(1-((1+$A179)/(1+'Table G'!$B$18))))+('Table G'!$B$14+'Table G'!$B$15)*(1+$A179)^(5-1)*(1+'Table G'!$B$26)/(('Table G'!$B$18-'Table G'!$B$26)*(1+'Table G'!$B$18)^5),"")</f>
        <v>93753.452846121654</v>
      </c>
      <c r="E179" s="17">
        <f>IFERROR(('Table G'!$B$14+'Table G'!$B$15)/(1+'Table G'!$B$18)*IF(ABS(((1+$A179)/(1+'Table G'!$B$18))-1)&lt;0.000000001,10,(1-((1+$A179)/(1+'Table G'!$B$18))^10)/(1-((1+$A179)/(1+'Table G'!$B$18))))+('Table G'!$B$14+'Table G'!$B$15)*(1+$A179)^(10-1)*(1+'Table G'!$B$26)/(('Table G'!$B$18-'Table G'!$B$26)*(1+'Table G'!$B$18)^10),"")</f>
        <v>113591.29148521379</v>
      </c>
      <c r="F179" s="17">
        <f>IFERROR(('Table G'!$B$14+'Table G'!$B$15)/(1+'Table G'!$B$18)*IF(ABS(((1+$A179)/(1+'Table G'!$B$18))-1)&lt;0.000000001,5,(1-((1+$A179)/(1+'Table G'!$B$18))^5)/(1-((1+$A179)/(1+'Table G'!$B$18))))+('Table G'!$B$14+'Table G'!$B$15)*(1+$A179)^(5-1)*(1+'Table G'!$B$27)/(('Table G'!$B$18-'Table G'!$B$27)*(1+'Table G'!$B$18)^5),"")</f>
        <v>100365.71907041068</v>
      </c>
      <c r="G179" s="17">
        <f>IFERROR(('Table G'!$B$14+'Table G'!$B$15)/(1+'Table G'!$B$18)*IF(ABS(((1+$A179)/(1+'Table G'!$B$18))-1)&lt;0.000000001,10,(1-((1+$A179)/(1+'Table G'!$B$18))^10)/(1-((1+$A179)/(1+'Table G'!$B$18))))+('Table G'!$B$14+'Table G'!$B$15)*(1+$A179)^(10-1)*(1+'Table G'!$B$27)/(('Table G'!$B$18-'Table G'!$B$27)*(1+'Table G'!$B$18)^10),"")</f>
        <v>120038.62755197432</v>
      </c>
    </row>
    <row r="180" spans="1:7" x14ac:dyDescent="0.2">
      <c r="A180" s="8">
        <f>-0.1+176*$B$2</f>
        <v>7.5999999999999984E-2</v>
      </c>
      <c r="B180" s="17">
        <f>IFERROR(('Table G'!$B$14+'Table G'!$B$15)/(1+'Table G'!$B$18)*IF(ABS(((1+$A180)/(1+'Table G'!$B$18))-1)&lt;0.000000001,5,(1-((1+$A180)/(1+'Table G'!$B$18))^5)/(1-((1+$A180)/(1+'Table G'!$B$18))))+('Table G'!$B$14+'Table G'!$B$15)*(1+$A180)^(5-1)*(1+'Table G'!$B$25)/(('Table G'!$B$18-'Table G'!$B$25)*(1+'Table G'!$B$18)^5),"")</f>
        <v>88408.395774998076</v>
      </c>
      <c r="C180" s="17">
        <f>IFERROR(('Table G'!$B$14+'Table G'!$B$15)/(1+'Table G'!$B$18)*IF(ABS(((1+$A180)/(1+'Table G'!$B$18))-1)&lt;0.000000001,10,(1-((1+$A180)/(1+'Table G'!$B$18))^10)/(1-((1+$A180)/(1+'Table G'!$B$18))))+('Table G'!$B$14+'Table G'!$B$15)*(1+$A180)^(10-1)*(1+'Table G'!$B$25)/(('Table G'!$B$18-'Table G'!$B$25)*(1+'Table G'!$B$18)^10),"")</f>
        <v>108822.3363220872</v>
      </c>
      <c r="D180" s="17">
        <f>IFERROR(('Table G'!$B$14+'Table G'!$B$15)/(1+'Table G'!$B$18)*IF(ABS(((1+$A180)/(1+'Table G'!$B$18))-1)&lt;0.000000001,5,(1-((1+$A180)/(1+'Table G'!$B$18))^5)/(1-((1+$A180)/(1+'Table G'!$B$18))))+('Table G'!$B$14+'Table G'!$B$15)*(1+$A180)^(5-1)*(1+'Table G'!$B$26)/(('Table G'!$B$18-'Table G'!$B$26)*(1+'Table G'!$B$18)^5),"")</f>
        <v>94061.246138235758</v>
      </c>
      <c r="E180" s="17">
        <f>IFERROR(('Table G'!$B$14+'Table G'!$B$15)/(1+'Table G'!$B$18)*IF(ABS(((1+$A180)/(1+'Table G'!$B$18))-1)&lt;0.000000001,10,(1-((1+$A180)/(1+'Table G'!$B$18))^10)/(1-((1+$A180)/(1+'Table G'!$B$18))))+('Table G'!$B$14+'Table G'!$B$15)*(1+$A180)^(10-1)*(1+'Table G'!$B$26)/(('Table G'!$B$18-'Table G'!$B$26)*(1+'Table G'!$B$18)^10),"")</f>
        <v>114359.87155220592</v>
      </c>
      <c r="F180" s="17">
        <f>IFERROR(('Table G'!$B$14+'Table G'!$B$15)/(1+'Table G'!$B$18)*IF(ABS(((1+$A180)/(1+'Table G'!$B$18))-1)&lt;0.000000001,5,(1-((1+$A180)/(1+'Table G'!$B$18))^5)/(1-((1+$A180)/(1+'Table G'!$B$18))))+('Table G'!$B$14+'Table G'!$B$15)*(1+$A180)^(5-1)*(1+'Table G'!$B$27)/(('Table G'!$B$18-'Table G'!$B$27)*(1+'Table G'!$B$18)^5),"")</f>
        <v>100698.15049597748</v>
      </c>
      <c r="G180" s="17">
        <f>IFERROR(('Table G'!$B$14+'Table G'!$B$15)/(1+'Table G'!$B$18)*IF(ABS(((1+$A180)/(1+'Table G'!$B$18))-1)&lt;0.000000001,10,(1-((1+$A180)/(1+'Table G'!$B$18))^10)/(1-((1+$A180)/(1+'Table G'!$B$18))))+('Table G'!$B$14+'Table G'!$B$15)*(1+$A180)^(10-1)*(1+'Table G'!$B$27)/(('Table G'!$B$18-'Table G'!$B$27)*(1+'Table G'!$B$18)^10),"")</f>
        <v>120861.38660007171</v>
      </c>
    </row>
    <row r="181" spans="1:7" x14ac:dyDescent="0.2">
      <c r="A181" s="8">
        <f>-0.1+177*$B$2</f>
        <v>7.6999999999999985E-2</v>
      </c>
      <c r="B181" s="17">
        <f>IFERROR(('Table G'!$B$14+'Table G'!$B$15)/(1+'Table G'!$B$18)*IF(ABS(((1+$A181)/(1+'Table G'!$B$18))-1)&lt;0.000000001,5,(1-((1+$A181)/(1+'Table G'!$B$18))^5)/(1-((1+$A181)/(1+'Table G'!$B$18))))+('Table G'!$B$14+'Table G'!$B$15)*(1+$A181)^(5-1)*(1+'Table G'!$B$25)/(('Table G'!$B$18-'Table G'!$B$25)*(1+'Table G'!$B$18)^5),"")</f>
        <v>88695.966364830951</v>
      </c>
      <c r="C181" s="17">
        <f>IFERROR(('Table G'!$B$14+'Table G'!$B$15)/(1+'Table G'!$B$18)*IF(ABS(((1+$A181)/(1+'Table G'!$B$18))-1)&lt;0.000000001,10,(1-((1+$A181)/(1+'Table G'!$B$18))^10)/(1-((1+$A181)/(1+'Table G'!$B$18))))+('Table G'!$B$14+'Table G'!$B$15)*(1+$A181)^(10-1)*(1+'Table G'!$B$25)/(('Table G'!$B$18-'Table G'!$B$25)*(1+'Table G'!$B$18)^10),"")</f>
        <v>109549.7042626629</v>
      </c>
      <c r="D181" s="17">
        <f>IFERROR(('Table G'!$B$14+'Table G'!$B$15)/(1+'Table G'!$B$18)*IF(ABS(((1+$A181)/(1+'Table G'!$B$18))-1)&lt;0.000000001,5,(1-((1+$A181)/(1+'Table G'!$B$18))^5)/(1-((1+$A181)/(1+'Table G'!$B$18))))+('Table G'!$B$14+'Table G'!$B$15)*(1+$A181)^(5-1)*(1+'Table G'!$B$26)/(('Table G'!$B$18-'Table G'!$B$26)*(1+'Table G'!$B$18)^5),"")</f>
        <v>94369.860354888282</v>
      </c>
      <c r="E181" s="17">
        <f>IFERROR(('Table G'!$B$14+'Table G'!$B$15)/(1+'Table G'!$B$18)*IF(ABS(((1+$A181)/(1+'Table G'!$B$18))-1)&lt;0.000000001,10,(1-((1+$A181)/(1+'Table G'!$B$18))^10)/(1-((1+$A181)/(1+'Table G'!$B$18))))+('Table G'!$B$14+'Table G'!$B$15)*(1+$A181)^(10-1)*(1+'Table G'!$B$26)/(('Table G'!$B$18-'Table G'!$B$26)*(1+'Table G'!$B$18)^10),"")</f>
        <v>115133.72972520848</v>
      </c>
      <c r="F181" s="17">
        <f>IFERROR(('Table G'!$B$14+'Table G'!$B$15)/(1+'Table G'!$B$18)*IF(ABS(((1+$A181)/(1+'Table G'!$B$18))-1)&lt;0.000000001,5,(1-((1+$A181)/(1+'Table G'!$B$18))^5)/(1-((1+$A181)/(1+'Table G'!$B$18))))+('Table G'!$B$14+'Table G'!$B$15)*(1+$A181)^(5-1)*(1+'Table G'!$B$27)/(('Table G'!$B$18-'Table G'!$B$27)*(1+'Table G'!$B$18)^5),"")</f>
        <v>101031.47163561001</v>
      </c>
      <c r="G181" s="17">
        <f>IFERROR(('Table G'!$B$14+'Table G'!$B$15)/(1+'Table G'!$B$18)*IF(ABS(((1+$A181)/(1+'Table G'!$B$18))-1)&lt;0.000000001,10,(1-((1+$A181)/(1+'Table G'!$B$18))^10)/(1-((1+$A181)/(1+'Table G'!$B$18))))+('Table G'!$B$14+'Table G'!$B$15)*(1+$A181)^(10-1)*(1+'Table G'!$B$27)/(('Table G'!$B$18-'Table G'!$B$27)*(1+'Table G'!$B$18)^10),"")</f>
        <v>121689.82807288936</v>
      </c>
    </row>
    <row r="182" spans="1:7" x14ac:dyDescent="0.2">
      <c r="A182" s="8">
        <f>-0.1+178*$B$2</f>
        <v>7.7999999999999986E-2</v>
      </c>
      <c r="B182" s="17">
        <f>IFERROR(('Table G'!$B$14+'Table G'!$B$15)/(1+'Table G'!$B$18)*IF(ABS(((1+$A182)/(1+'Table G'!$B$18))-1)&lt;0.000000001,5,(1-((1+$A182)/(1+'Table G'!$B$18))^5)/(1-((1+$A182)/(1+'Table G'!$B$18))))+('Table G'!$B$14+'Table G'!$B$15)*(1+$A182)^(5-1)*(1+'Table G'!$B$25)/(('Table G'!$B$18-'Table G'!$B$25)*(1+'Table G'!$B$18)^5),"")</f>
        <v>88984.300671130099</v>
      </c>
      <c r="C182" s="17">
        <f>IFERROR(('Table G'!$B$14+'Table G'!$B$15)/(1+'Table G'!$B$18)*IF(ABS(((1+$A182)/(1+'Table G'!$B$18))-1)&lt;0.000000001,10,(1-((1+$A182)/(1+'Table G'!$B$18))^10)/(1-((1+$A182)/(1+'Table G'!$B$18))))+('Table G'!$B$14+'Table G'!$B$15)*(1+$A182)^(10-1)*(1+'Table G'!$B$25)/(('Table G'!$B$18-'Table G'!$B$25)*(1+'Table G'!$B$18)^10),"")</f>
        <v>110282.03664266405</v>
      </c>
      <c r="D182" s="17">
        <f>IFERROR(('Table G'!$B$14+'Table G'!$B$15)/(1+'Table G'!$B$18)*IF(ABS(((1+$A182)/(1+'Table G'!$B$18))-1)&lt;0.000000001,5,(1-((1+$A182)/(1+'Table G'!$B$18))^5)/(1-((1+$A182)/(1+'Table G'!$B$18))))+('Table G'!$B$14+'Table G'!$B$15)*(1+$A182)^(5-1)*(1+'Table G'!$B$26)/(('Table G'!$B$18-'Table G'!$B$26)*(1+'Table G'!$B$18)^5),"")</f>
        <v>94679.296987063368</v>
      </c>
      <c r="E182" s="17">
        <f>IFERROR(('Table G'!$B$14+'Table G'!$B$15)/(1+'Table G'!$B$18)*IF(ABS(((1+$A182)/(1+'Table G'!$B$18))-1)&lt;0.000000001,10,(1-((1+$A182)/(1+'Table G'!$B$18))^10)/(1-((1+$A182)/(1+'Table G'!$B$18))))+('Table G'!$B$14+'Table G'!$B$15)*(1+$A182)^(10-1)*(1+'Table G'!$B$26)/(('Table G'!$B$18-'Table G'!$B$26)*(1+'Table G'!$B$18)^10),"")</f>
        <v>115912.89895458159</v>
      </c>
      <c r="F182" s="17">
        <f>IFERROR(('Table G'!$B$14+'Table G'!$B$15)/(1+'Table G'!$B$18)*IF(ABS(((1+$A182)/(1+'Table G'!$B$18))-1)&lt;0.000000001,5,(1-((1+$A182)/(1+'Table G'!$B$18))^5)/(1-((1+$A182)/(1+'Table G'!$B$18))))+('Table G'!$B$14+'Table G'!$B$15)*(1+$A182)^(5-1)*(1+'Table G'!$B$27)/(('Table G'!$B$18-'Table G'!$B$27)*(1+'Table G'!$B$18)^5),"")</f>
        <v>101365.68410821339</v>
      </c>
      <c r="G182" s="17">
        <f>IFERROR(('Table G'!$B$14+'Table G'!$B$15)/(1+'Table G'!$B$18)*IF(ABS(((1+$A182)/(1+'Table G'!$B$18))-1)&lt;0.000000001,10,(1-((1+$A182)/(1+'Table G'!$B$18))^10)/(1-((1+$A182)/(1+'Table G'!$B$18))))+('Table G'!$B$14+'Table G'!$B$15)*(1+$A182)^(10-1)*(1+'Table G'!$B$27)/(('Table G'!$B$18-'Table G'!$B$27)*(1+'Table G'!$B$18)^10),"")</f>
        <v>122523.98755845617</v>
      </c>
    </row>
    <row r="183" spans="1:7" x14ac:dyDescent="0.2">
      <c r="A183" s="8">
        <f>-0.1+179*$B$2</f>
        <v>7.8999999999999987E-2</v>
      </c>
      <c r="B183" s="17">
        <f>IFERROR(('Table G'!$B$14+'Table G'!$B$15)/(1+'Table G'!$B$18)*IF(ABS(((1+$A183)/(1+'Table G'!$B$18))-1)&lt;0.000000001,5,(1-((1+$A183)/(1+'Table G'!$B$18))^5)/(1-((1+$A183)/(1+'Table G'!$B$18))))+('Table G'!$B$14+'Table G'!$B$15)*(1+$A183)^(5-1)*(1+'Table G'!$B$25)/(('Table G'!$B$18-'Table G'!$B$25)*(1+'Table G'!$B$18)^5),"")</f>
        <v>89273.400077190017</v>
      </c>
      <c r="C183" s="17">
        <f>IFERROR(('Table G'!$B$14+'Table G'!$B$15)/(1+'Table G'!$B$18)*IF(ABS(((1+$A183)/(1+'Table G'!$B$18))-1)&lt;0.000000001,10,(1-((1+$A183)/(1+'Table G'!$B$18))^10)/(1-((1+$A183)/(1+'Table G'!$B$18))))+('Table G'!$B$14+'Table G'!$B$15)*(1+$A183)^(10-1)*(1+'Table G'!$B$25)/(('Table G'!$B$18-'Table G'!$B$25)*(1+'Table G'!$B$18)^10),"")</f>
        <v>111019.36433245035</v>
      </c>
      <c r="D183" s="17">
        <f>IFERROR(('Table G'!$B$14+'Table G'!$B$15)/(1+'Table G'!$B$18)*IF(ABS(((1+$A183)/(1+'Table G'!$B$18))-1)&lt;0.000000001,5,(1-((1+$A183)/(1+'Table G'!$B$18))^5)/(1-((1+$A183)/(1+'Table G'!$B$18))))+('Table G'!$B$14+'Table G'!$B$15)*(1+$A183)^(5-1)*(1+'Table G'!$B$26)/(('Table G'!$B$18-'Table G'!$B$26)*(1+'Table G'!$B$18)^5),"")</f>
        <v>94989.557527110868</v>
      </c>
      <c r="E183" s="17">
        <f>IFERROR(('Table G'!$B$14+'Table G'!$B$15)/(1+'Table G'!$B$18)*IF(ABS(((1+$A183)/(1+'Table G'!$B$18))-1)&lt;0.000000001,10,(1-((1+$A183)/(1+'Table G'!$B$18))^10)/(1-((1+$A183)/(1+'Table G'!$B$18))))+('Table G'!$B$14+'Table G'!$B$15)*(1+$A183)^(10-1)*(1+'Table G'!$B$26)/(('Table G'!$B$18-'Table G'!$B$26)*(1+'Table G'!$B$18)^10),"")</f>
        <v>116697.41236981718</v>
      </c>
      <c r="F183" s="17">
        <f>IFERROR(('Table G'!$B$14+'Table G'!$B$15)/(1+'Table G'!$B$18)*IF(ABS(((1+$A183)/(1+'Table G'!$B$18))-1)&lt;0.000000001,5,(1-((1+$A183)/(1+'Table G'!$B$18))^5)/(1-((1+$A183)/(1+'Table G'!$B$18))))+('Table G'!$B$14+'Table G'!$B$15)*(1+$A183)^(5-1)*(1+'Table G'!$B$27)/(('Table G'!$B$18-'Table G'!$B$27)*(1+'Table G'!$B$18)^5),"")</f>
        <v>101700.78953417724</v>
      </c>
      <c r="G183" s="17">
        <f>IFERROR(('Table G'!$B$14+'Table G'!$B$15)/(1+'Table G'!$B$18)*IF(ABS(((1+$A183)/(1+'Table G'!$B$18))-1)&lt;0.000000001,10,(1-((1+$A183)/(1+'Table G'!$B$18))^10)/(1-((1+$A183)/(1+'Table G'!$B$18))))+('Table G'!$B$14+'Table G'!$B$15)*(1+$A183)^(10-1)*(1+'Table G'!$B$27)/(('Table G'!$B$18-'Table G'!$B$27)*(1+'Table G'!$B$18)^10),"")</f>
        <v>123363.90083866863</v>
      </c>
    </row>
    <row r="184" spans="1:7" x14ac:dyDescent="0.2">
      <c r="A184" s="8">
        <f>-0.1+180*$B$2</f>
        <v>7.9999999999999988E-2</v>
      </c>
      <c r="B184" s="17">
        <f>IFERROR(('Table G'!$B$14+'Table G'!$B$15)/(1+'Table G'!$B$18)*IF(ABS(((1+$A184)/(1+'Table G'!$B$18))-1)&lt;0.000000001,5,(1-((1+$A184)/(1+'Table G'!$B$18))^5)/(1-((1+$A184)/(1+'Table G'!$B$18))))+('Table G'!$B$14+'Table G'!$B$15)*(1+$A184)^(5-1)*(1+'Table G'!$B$25)/(('Table G'!$B$18-'Table G'!$B$25)*(1+'Table G'!$B$18)^5),"")</f>
        <v>89563.265967569314</v>
      </c>
      <c r="C184" s="17">
        <f>IFERROR(('Table G'!$B$14+'Table G'!$B$15)/(1+'Table G'!$B$18)*IF(ABS(((1+$A184)/(1+'Table G'!$B$18))-1)&lt;0.000000001,10,(1-((1+$A184)/(1+'Table G'!$B$18))^10)/(1-((1+$A184)/(1+'Table G'!$B$18))))+('Table G'!$B$14+'Table G'!$B$15)*(1+$A184)^(10-1)*(1+'Table G'!$B$25)/(('Table G'!$B$18-'Table G'!$B$25)*(1+'Table G'!$B$18)^10),"")</f>
        <v>111761.71836972347</v>
      </c>
      <c r="D184" s="17">
        <f>IFERROR(('Table G'!$B$14+'Table G'!$B$15)/(1+'Table G'!$B$18)*IF(ABS(((1+$A184)/(1+'Table G'!$B$18))-1)&lt;0.000000001,5,(1-((1+$A184)/(1+'Table G'!$B$18))^5)/(1-((1+$A184)/(1+'Table G'!$B$18))))+('Table G'!$B$14+'Table G'!$B$15)*(1+$A184)^(5-1)*(1+'Table G'!$B$26)/(('Table G'!$B$18-'Table G'!$B$26)*(1+'Table G'!$B$18)^5),"")</f>
        <v>95300.643468745897</v>
      </c>
      <c r="E184" s="17">
        <f>IFERROR(('Table G'!$B$14+'Table G'!$B$15)/(1+'Table G'!$B$18)*IF(ABS(((1+$A184)/(1+'Table G'!$B$18))-1)&lt;0.000000001,10,(1-((1+$A184)/(1+'Table G'!$B$18))^10)/(1-((1+$A184)/(1+'Table G'!$B$18))))+('Table G'!$B$14+'Table G'!$B$15)*(1+$A184)^(10-1)*(1+'Table G'!$B$26)/(('Table G'!$B$18-'Table G'!$B$26)*(1+'Table G'!$B$18)^10),"")</f>
        <v>117487.30328035841</v>
      </c>
      <c r="F184" s="17">
        <f>IFERROR(('Table G'!$B$14+'Table G'!$B$15)/(1+'Table G'!$B$18)*IF(ABS(((1+$A184)/(1+'Table G'!$B$18))-1)&lt;0.000000001,5,(1-((1+$A184)/(1+'Table G'!$B$18))^5)/(1-((1+$A184)/(1+'Table G'!$B$18))))+('Table G'!$B$14+'Table G'!$B$15)*(1+$A184)^(5-1)*(1+'Table G'!$B$27)/(('Table G'!$B$18-'Table G'!$B$27)*(1+'Table G'!$B$18)^5),"")</f>
        <v>102036.78953537533</v>
      </c>
      <c r="G184" s="17">
        <f>IFERROR(('Table G'!$B$14+'Table G'!$B$15)/(1+'Table G'!$B$18)*IF(ABS(((1+$A184)/(1+'Table G'!$B$18))-1)&lt;0.000000001,10,(1-((1+$A184)/(1+'Table G'!$B$18))^10)/(1-((1+$A184)/(1+'Table G'!$B$18))))+('Table G'!$B$14+'Table G'!$B$15)*(1+$A184)^(10-1)*(1+'Table G'!$B$27)/(('Table G'!$B$18-'Table G'!$B$27)*(1+'Table G'!$B$18)^10),"")</f>
        <v>124209.60389017832</v>
      </c>
    </row>
    <row r="185" spans="1:7" x14ac:dyDescent="0.2">
      <c r="A185" s="8">
        <f>-0.1+181*$B$2</f>
        <v>8.0999999999999989E-2</v>
      </c>
      <c r="B185" s="17">
        <f>IFERROR(('Table G'!$B$14+'Table G'!$B$15)/(1+'Table G'!$B$18)*IF(ABS(((1+$A185)/(1+'Table G'!$B$18))-1)&lt;0.000000001,5,(1-((1+$A185)/(1+'Table G'!$B$18))^5)/(1-((1+$A185)/(1+'Table G'!$B$18))))+('Table G'!$B$14+'Table G'!$B$15)*(1+$A185)^(5-1)*(1+'Table G'!$B$25)/(('Table G'!$B$18-'Table G'!$B$25)*(1+'Table G'!$B$18)^5),"")</f>
        <v>89853.899728088072</v>
      </c>
      <c r="C185" s="17">
        <f>IFERROR(('Table G'!$B$14+'Table G'!$B$15)/(1+'Table G'!$B$18)*IF(ABS(((1+$A185)/(1+'Table G'!$B$18))-1)&lt;0.000000001,10,(1-((1+$A185)/(1+'Table G'!$B$18))^10)/(1-((1+$A185)/(1+'Table G'!$B$18))))+('Table G'!$B$14+'Table G'!$B$15)*(1+$A185)^(10-1)*(1+'Table G'!$B$25)/(('Table G'!$B$18-'Table G'!$B$25)*(1+'Table G'!$B$18)^10),"")</f>
        <v>112509.12996028057</v>
      </c>
      <c r="D185" s="17">
        <f>IFERROR(('Table G'!$B$14+'Table G'!$B$15)/(1+'Table G'!$B$18)*IF(ABS(((1+$A185)/(1+'Table G'!$B$18))-1)&lt;0.000000001,5,(1-((1+$A185)/(1+'Table G'!$B$18))^5)/(1-((1+$A185)/(1+'Table G'!$B$18))))+('Table G'!$B$14+'Table G'!$B$15)*(1+$A185)^(5-1)*(1+'Table G'!$B$26)/(('Table G'!$B$18-'Table G'!$B$26)*(1+'Table G'!$B$18)^5),"")</f>
        <v>95612.556307046339</v>
      </c>
      <c r="E185" s="17">
        <f>IFERROR(('Table G'!$B$14+'Table G'!$B$15)/(1+'Table G'!$B$18)*IF(ABS(((1+$A185)/(1+'Table G'!$B$18))-1)&lt;0.000000001,10,(1-((1+$A185)/(1+'Table G'!$B$18))^10)/(1-((1+$A185)/(1+'Table G'!$B$18))))+('Table G'!$B$14+'Table G'!$B$15)*(1+$A185)^(10-1)*(1+'Table G'!$B$26)/(('Table G'!$B$18-'Table G'!$B$26)*(1+'Table G'!$B$18)^10),"")</f>
        <v>118282.60517641148</v>
      </c>
      <c r="F185" s="17">
        <f>IFERROR(('Table G'!$B$14+'Table G'!$B$15)/(1+'Table G'!$B$18)*IF(ABS(((1+$A185)/(1+'Table G'!$B$18))-1)&lt;0.000000001,5,(1-((1+$A185)/(1+'Table G'!$B$18))^5)/(1-((1+$A185)/(1+'Table G'!$B$18))))+('Table G'!$B$14+'Table G'!$B$15)*(1+$A185)^(5-1)*(1+'Table G'!$B$27)/(('Table G'!$B$18-'Table G'!$B$27)*(1+'Table G'!$B$18)^5),"")</f>
        <v>102373.685735163</v>
      </c>
      <c r="G185" s="17">
        <f>IFERROR(('Table G'!$B$14+'Table G'!$B$15)/(1+'Table G'!$B$18)*IF(ABS(((1+$A185)/(1+'Table G'!$B$18))-1)&lt;0.000000001,10,(1-((1+$A185)/(1+'Table G'!$B$18))^10)/(1-((1+$A185)/(1+'Table G'!$B$18))))+('Table G'!$B$14+'Table G'!$B$15)*(1+$A185)^(10-1)*(1+'Table G'!$B$27)/(('Table G'!$B$18-'Table G'!$B$27)*(1+'Table G'!$B$18)^10),"")</f>
        <v>125061.13288527276</v>
      </c>
    </row>
    <row r="186" spans="1:7" x14ac:dyDescent="0.2">
      <c r="A186" s="8">
        <f>-0.1+182*$B$2</f>
        <v>8.199999999999999E-2</v>
      </c>
      <c r="B186" s="17">
        <f>IFERROR(('Table G'!$B$14+'Table G'!$B$15)/(1+'Table G'!$B$18)*IF(ABS(((1+$A186)/(1+'Table G'!$B$18))-1)&lt;0.000000001,5,(1-((1+$A186)/(1+'Table G'!$B$18))^5)/(1-((1+$A186)/(1+'Table G'!$B$18))))+('Table G'!$B$14+'Table G'!$B$15)*(1+$A186)^(5-1)*(1+'Table G'!$B$25)/(('Table G'!$B$18-'Table G'!$B$25)*(1+'Table G'!$B$18)^5),"")</f>
        <v>90145.302745837747</v>
      </c>
      <c r="C186" s="17">
        <f>IFERROR(('Table G'!$B$14+'Table G'!$B$15)/(1+'Table G'!$B$18)*IF(ABS(((1+$A186)/(1+'Table G'!$B$18))-1)&lt;0.000000001,10,(1-((1+$A186)/(1+'Table G'!$B$18))^10)/(1-((1+$A186)/(1+'Table G'!$B$18))))+('Table G'!$B$14+'Table G'!$B$15)*(1+$A186)^(10-1)*(1+'Table G'!$B$25)/(('Table G'!$B$18-'Table G'!$B$25)*(1+'Table G'!$B$18)^10),"")</f>
        <v>113261.63047880736</v>
      </c>
      <c r="D186" s="17">
        <f>IFERROR(('Table G'!$B$14+'Table G'!$B$15)/(1+'Table G'!$B$18)*IF(ABS(((1+$A186)/(1+'Table G'!$B$18))-1)&lt;0.000000001,5,(1-((1+$A186)/(1+'Table G'!$B$18))^5)/(1-((1+$A186)/(1+'Table G'!$B$18))))+('Table G'!$B$14+'Table G'!$B$15)*(1+$A186)^(5-1)*(1+'Table G'!$B$26)/(('Table G'!$B$18-'Table G'!$B$26)*(1+'Table G'!$B$18)^5),"")</f>
        <v>95925.297538462619</v>
      </c>
      <c r="E186" s="17">
        <f>IFERROR(('Table G'!$B$14+'Table G'!$B$15)/(1+'Table G'!$B$18)*IF(ABS(((1+$A186)/(1+'Table G'!$B$18))-1)&lt;0.000000001,10,(1-((1+$A186)/(1+'Table G'!$B$18))^10)/(1-((1+$A186)/(1+'Table G'!$B$18))))+('Table G'!$B$14+'Table G'!$B$15)*(1+$A186)^(10-1)*(1+'Table G'!$B$26)/(('Table G'!$B$18-'Table G'!$B$26)*(1+'Table G'!$B$18)^10),"")</f>
        <v>119083.35172979764</v>
      </c>
      <c r="F186" s="17">
        <f>IFERROR(('Table G'!$B$14+'Table G'!$B$15)/(1+'Table G'!$B$18)*IF(ABS(((1+$A186)/(1+'Table G'!$B$18))-1)&lt;0.000000001,5,(1-((1+$A186)/(1+'Table G'!$B$18))^5)/(1-((1+$A186)/(1+'Table G'!$B$18))))+('Table G'!$B$14+'Table G'!$B$15)*(1+$A186)^(5-1)*(1+'Table G'!$B$27)/(('Table G'!$B$18-'Table G'!$B$27)*(1+'Table G'!$B$18)^5),"")</f>
        <v>102711.47975838697</v>
      </c>
      <c r="G186" s="17">
        <f>IFERROR(('Table G'!$B$14+'Table G'!$B$15)/(1+'Table G'!$B$18)*IF(ABS(((1+$A186)/(1+'Table G'!$B$18))-1)&lt;0.000000001,10,(1-((1+$A186)/(1+'Table G'!$B$18))^10)/(1-((1+$A186)/(1+'Table G'!$B$18))))+('Table G'!$B$14+'Table G'!$B$15)*(1+$A186)^(10-1)*(1+'Table G'!$B$27)/(('Table G'!$B$18-'Table G'!$B$27)*(1+'Table G'!$B$18)^10),"")</f>
        <v>125918.52419279647</v>
      </c>
    </row>
    <row r="187" spans="1:7" x14ac:dyDescent="0.2">
      <c r="A187" s="8">
        <f>-0.1+183*$B$2</f>
        <v>8.299999999999999E-2</v>
      </c>
      <c r="B187" s="17">
        <f>IFERROR(('Table G'!$B$14+'Table G'!$B$15)/(1+'Table G'!$B$18)*IF(ABS(((1+$A187)/(1+'Table G'!$B$18))-1)&lt;0.000000001,5,(1-((1+$A187)/(1+'Table G'!$B$18))^5)/(1-((1+$A187)/(1+'Table G'!$B$18))))+('Table G'!$B$14+'Table G'!$B$15)*(1+$A187)^(5-1)*(1+'Table G'!$B$25)/(('Table G'!$B$18-'Table G'!$B$25)*(1+'Table G'!$B$18)^5),"")</f>
        <v>90437.476409164068</v>
      </c>
      <c r="C187" s="17">
        <f>IFERROR(('Table G'!$B$14+'Table G'!$B$15)/(1+'Table G'!$B$18)*IF(ABS(((1+$A187)/(1+'Table G'!$B$18))-1)&lt;0.000000001,10,(1-((1+$A187)/(1+'Table G'!$B$18))^10)/(1-((1+$A187)/(1+'Table G'!$B$18))))+('Table G'!$B$14+'Table G'!$B$15)*(1+$A187)^(10-1)*(1+'Table G'!$B$25)/(('Table G'!$B$18-'Table G'!$B$25)*(1+'Table G'!$B$18)^10),"")</f>
        <v>114019.25146959652</v>
      </c>
      <c r="D187" s="17">
        <f>IFERROR(('Table G'!$B$14+'Table G'!$B$15)/(1+'Table G'!$B$18)*IF(ABS(((1+$A187)/(1+'Table G'!$B$18))-1)&lt;0.000000001,5,(1-((1+$A187)/(1+'Table G'!$B$18))^5)/(1-((1+$A187)/(1+'Table G'!$B$18))))+('Table G'!$B$14+'Table G'!$B$15)*(1+$A187)^(5-1)*(1+'Table G'!$B$26)/(('Table G'!$B$18-'Table G'!$B$26)*(1+'Table G'!$B$18)^5),"")</f>
        <v>96238.86866080061</v>
      </c>
      <c r="E187" s="17">
        <f>IFERROR(('Table G'!$B$14+'Table G'!$B$15)/(1+'Table G'!$B$18)*IF(ABS(((1+$A187)/(1+'Table G'!$B$18))-1)&lt;0.000000001,10,(1-((1+$A187)/(1+'Table G'!$B$18))^10)/(1-((1+$A187)/(1+'Table G'!$B$18))))+('Table G'!$B$14+'Table G'!$B$15)*(1+$A187)^(10-1)*(1+'Table G'!$B$26)/(('Table G'!$B$18-'Table G'!$B$26)*(1+'Table G'!$B$18)^10),"")</f>
        <v>119889.57679473059</v>
      </c>
      <c r="F187" s="17">
        <f>IFERROR(('Table G'!$B$14+'Table G'!$B$15)/(1+'Table G'!$B$18)*IF(ABS(((1+$A187)/(1+'Table G'!$B$18))-1)&lt;0.000000001,5,(1-((1+$A187)/(1+'Table G'!$B$18))^5)/(1-((1+$A187)/(1+'Table G'!$B$18))))+('Table G'!$B$14+'Table G'!$B$15)*(1+$A187)^(5-1)*(1+'Table G'!$B$27)/(('Table G'!$B$18-'Table G'!$B$27)*(1+'Table G'!$B$18)^5),"")</f>
        <v>103050.17323136823</v>
      </c>
      <c r="G187" s="17">
        <f>IFERROR(('Table G'!$B$14+'Table G'!$B$15)/(1+'Table G'!$B$18)*IF(ABS(((1+$A187)/(1+'Table G'!$B$18))-1)&lt;0.000000001,10,(1-((1+$A187)/(1+'Table G'!$B$18))^10)/(1-((1+$A187)/(1+'Table G'!$B$18))))+('Table G'!$B$14+'Table G'!$B$15)*(1+$A187)^(10-1)*(1+'Table G'!$B$27)/(('Table G'!$B$18-'Table G'!$B$27)*(1+'Table G'!$B$18)^10),"")</f>
        <v>126781.81437899754</v>
      </c>
    </row>
    <row r="188" spans="1:7" x14ac:dyDescent="0.2">
      <c r="A188" s="8">
        <f>-0.1+184*$B$2</f>
        <v>8.3999999999999991E-2</v>
      </c>
      <c r="B188" s="17">
        <f>IFERROR(('Table G'!$B$14+'Table G'!$B$15)/(1+'Table G'!$B$18)*IF(ABS(((1+$A188)/(1+'Table G'!$B$18))-1)&lt;0.000000001,5,(1-((1+$A188)/(1+'Table G'!$B$18))^5)/(1-((1+$A188)/(1+'Table G'!$B$18))))+('Table G'!$B$14+'Table G'!$B$15)*(1+$A188)^(5-1)*(1+'Table G'!$B$25)/(('Table G'!$B$18-'Table G'!$B$25)*(1+'Table G'!$B$18)^5),"")</f>
        <v>90730.422107682331</v>
      </c>
      <c r="C188" s="17">
        <f>IFERROR(('Table G'!$B$14+'Table G'!$B$15)/(1+'Table G'!$B$18)*IF(ABS(((1+$A188)/(1+'Table G'!$B$18))-1)&lt;0.000000001,10,(1-((1+$A188)/(1+'Table G'!$B$18))^10)/(1-((1+$A188)/(1+'Table G'!$B$18))))+('Table G'!$B$14+'Table G'!$B$15)*(1+$A188)^(10-1)*(1+'Table G'!$B$25)/(('Table G'!$B$18-'Table G'!$B$25)*(1+'Table G'!$B$18)^10),"")</f>
        <v>114782.02464736474</v>
      </c>
      <c r="D188" s="17">
        <f>IFERROR(('Table G'!$B$14+'Table G'!$B$15)/(1+'Table G'!$B$18)*IF(ABS(((1+$A188)/(1+'Table G'!$B$18))-1)&lt;0.000000001,5,(1-((1+$A188)/(1+'Table G'!$B$18))^5)/(1-((1+$A188)/(1+'Table G'!$B$18))))+('Table G'!$B$14+'Table G'!$B$15)*(1+$A188)^(5-1)*(1+'Table G'!$B$26)/(('Table G'!$B$18-'Table G'!$B$26)*(1+'Table G'!$B$18)^5),"")</f>
        <v>96553.271173237037</v>
      </c>
      <c r="E188" s="17">
        <f>IFERROR(('Table G'!$B$14+'Table G'!$B$15)/(1+'Table G'!$B$18)*IF(ABS(((1+$A188)/(1+'Table G'!$B$18))-1)&lt;0.000000001,10,(1-((1+$A188)/(1+'Table G'!$B$18))^10)/(1-((1+$A188)/(1+'Table G'!$B$18))))+('Table G'!$B$14+'Table G'!$B$15)*(1+$A188)^(10-1)*(1+'Table G'!$B$26)/(('Table G'!$B$18-'Table G'!$B$26)*(1+'Table G'!$B$18)^10),"")</f>
        <v>120701.31440869275</v>
      </c>
      <c r="F188" s="17">
        <f>IFERROR(('Table G'!$B$14+'Table G'!$B$15)/(1+'Table G'!$B$18)*IF(ABS(((1+$A188)/(1+'Table G'!$B$18))-1)&lt;0.000000001,5,(1-((1+$A188)/(1+'Table G'!$B$18))^5)/(1-((1+$A188)/(1+'Table G'!$B$18))))+('Table G'!$B$14+'Table G'!$B$15)*(1+$A188)^(5-1)*(1+'Table G'!$B$27)/(('Table G'!$B$18-'Table G'!$B$27)*(1+'Table G'!$B$18)^5),"")</f>
        <v>103389.76778191749</v>
      </c>
      <c r="G188" s="17">
        <f>IFERROR(('Table G'!$B$14+'Table G'!$B$15)/(1+'Table G'!$B$18)*IF(ABS(((1+$A188)/(1+'Table G'!$B$18))-1)&lt;0.000000001,10,(1-((1+$A188)/(1+'Table G'!$B$18))^10)/(1-((1+$A188)/(1+'Table G'!$B$18))))+('Table G'!$B$14+'Table G'!$B$15)*(1+$A188)^(10-1)*(1+'Table G'!$B$27)/(('Table G'!$B$18-'Table G'!$B$27)*(1+'Table G'!$B$18)^10),"")</f>
        <v>127651.04020847369</v>
      </c>
    </row>
    <row r="189" spans="1:7" x14ac:dyDescent="0.2">
      <c r="A189" s="8">
        <f>-0.1+185*$B$2</f>
        <v>8.4999999999999992E-2</v>
      </c>
      <c r="B189" s="17">
        <f>IFERROR(('Table G'!$B$14+'Table G'!$B$15)/(1+'Table G'!$B$18)*IF(ABS(((1+$A189)/(1+'Table G'!$B$18))-1)&lt;0.000000001,5,(1-((1+$A189)/(1+'Table G'!$B$18))^5)/(1-((1+$A189)/(1+'Table G'!$B$18))))+('Table G'!$B$14+'Table G'!$B$15)*(1+$A189)^(5-1)*(1+'Table G'!$B$25)/(('Table G'!$B$18-'Table G'!$B$25)*(1+'Table G'!$B$18)^5),"")</f>
        <v>91024.141232272348</v>
      </c>
      <c r="C189" s="17">
        <f>IFERROR(('Table G'!$B$14+'Table G'!$B$15)/(1+'Table G'!$B$18)*IF(ABS(((1+$A189)/(1+'Table G'!$B$18))-1)&lt;0.000000001,10,(1-((1+$A189)/(1+'Table G'!$B$18))^10)/(1-((1+$A189)/(1+'Table G'!$B$18))))+('Table G'!$B$14+'Table G'!$B$15)*(1+$A189)^(10-1)*(1+'Table G'!$B$25)/(('Table G'!$B$18-'Table G'!$B$25)*(1+'Table G'!$B$18)^10),"")</f>
        <v>115549.98189800841</v>
      </c>
      <c r="D189" s="17">
        <f>IFERROR(('Table G'!$B$14+'Table G'!$B$15)/(1+'Table G'!$B$18)*IF(ABS(((1+$A189)/(1+'Table G'!$B$18))-1)&lt;0.000000001,5,(1-((1+$A189)/(1+'Table G'!$B$18))^5)/(1-((1+$A189)/(1+'Table G'!$B$18))))+('Table G'!$B$14+'Table G'!$B$15)*(1+$A189)^(5-1)*(1+'Table G'!$B$26)/(('Table G'!$B$18-'Table G'!$B$26)*(1+'Table G'!$B$18)^5),"")</f>
        <v>96868.506576314307</v>
      </c>
      <c r="E189" s="17">
        <f>IFERROR(('Table G'!$B$14+'Table G'!$B$15)/(1+'Table G'!$B$18)*IF(ABS(((1+$A189)/(1+'Table G'!$B$18))-1)&lt;0.000000001,10,(1-((1+$A189)/(1+'Table G'!$B$18))^10)/(1-((1+$A189)/(1+'Table G'!$B$18))))+('Table G'!$B$14+'Table G'!$B$15)*(1+$A189)^(10-1)*(1+'Table G'!$B$26)/(('Table G'!$B$18-'Table G'!$B$26)*(1+'Table G'!$B$18)^10),"")</f>
        <v>121518.59879325051</v>
      </c>
      <c r="F189" s="17">
        <f>IFERROR(('Table G'!$B$14+'Table G'!$B$15)/(1+'Table G'!$B$18)*IF(ABS(((1+$A189)/(1+'Table G'!$B$18))-1)&lt;0.000000001,5,(1-((1+$A189)/(1+'Table G'!$B$18))^5)/(1-((1+$A189)/(1+'Table G'!$B$18))))+('Table G'!$B$14+'Table G'!$B$15)*(1+$A189)^(5-1)*(1+'Table G'!$B$27)/(('Table G'!$B$18-'Table G'!$B$27)*(1+'Table G'!$B$18)^5),"")</f>
        <v>103730.26503932988</v>
      </c>
      <c r="G189" s="17">
        <f>IFERROR(('Table G'!$B$14+'Table G'!$B$15)/(1+'Table G'!$B$18)*IF(ABS(((1+$A189)/(1+'Table G'!$B$18))-1)&lt;0.000000001,10,(1-((1+$A189)/(1+'Table G'!$B$18))^10)/(1-((1+$A189)/(1+'Table G'!$B$18))))+('Table G'!$B$14+'Table G'!$B$15)*(1+$A189)^(10-1)*(1+'Table G'!$B$27)/(('Table G'!$B$18-'Table G'!$B$27)*(1+'Table G'!$B$18)^10),"")</f>
        <v>128526.23864505705</v>
      </c>
    </row>
    <row r="190" spans="1:7" x14ac:dyDescent="0.2">
      <c r="A190" s="8">
        <f>-0.1+186*$B$2</f>
        <v>8.5999999999999993E-2</v>
      </c>
      <c r="B190" s="17">
        <f>IFERROR(('Table G'!$B$14+'Table G'!$B$15)/(1+'Table G'!$B$18)*IF(ABS(((1+$A190)/(1+'Table G'!$B$18))-1)&lt;0.000000001,5,(1-((1+$A190)/(1+'Table G'!$B$18))^5)/(1-((1+$A190)/(1+'Table G'!$B$18))))+('Table G'!$B$14+'Table G'!$B$15)*(1+$A190)^(5-1)*(1+'Table G'!$B$25)/(('Table G'!$B$18-'Table G'!$B$25)*(1+'Table G'!$B$18)^5),"")</f>
        <v>91318.635175075746</v>
      </c>
      <c r="C190" s="17">
        <f>IFERROR(('Table G'!$B$14+'Table G'!$B$15)/(1+'Table G'!$B$18)*IF(ABS(((1+$A190)/(1+'Table G'!$B$18))-1)&lt;0.000000001,10,(1-((1+$A190)/(1+'Table G'!$B$18))^10)/(1-((1+$A190)/(1+'Table G'!$B$18))))+('Table G'!$B$14+'Table G'!$B$15)*(1+$A190)^(10-1)*(1+'Table G'!$B$25)/(('Table G'!$B$18-'Table G'!$B$25)*(1+'Table G'!$B$18)^10),"")</f>
        <v>116323.155279375</v>
      </c>
      <c r="D190" s="17">
        <f>IFERROR(('Table G'!$B$14+'Table G'!$B$15)/(1+'Table G'!$B$18)*IF(ABS(((1+$A190)/(1+'Table G'!$B$18))-1)&lt;0.000000001,5,(1-((1+$A190)/(1+'Table G'!$B$18))^5)/(1-((1+$A190)/(1+'Table G'!$B$18))))+('Table G'!$B$14+'Table G'!$B$15)*(1+$A190)^(5-1)*(1+'Table G'!$B$26)/(('Table G'!$B$18-'Table G'!$B$26)*(1+'Table G'!$B$18)^5),"")</f>
        <v>97184.576371937874</v>
      </c>
      <c r="E190" s="17">
        <f>IFERROR(('Table G'!$B$14+'Table G'!$B$15)/(1+'Table G'!$B$18)*IF(ABS(((1+$A190)/(1+'Table G'!$B$18))-1)&lt;0.000000001,10,(1-((1+$A190)/(1+'Table G'!$B$18))^10)/(1-((1+$A190)/(1+'Table G'!$B$18))))+('Table G'!$B$14+'Table G'!$B$15)*(1+$A190)^(10-1)*(1+'Table G'!$B$26)/(('Table G'!$B$18-'Table G'!$B$26)*(1+'Table G'!$B$18)^10),"")</f>
        <v>122341.46435488528</v>
      </c>
      <c r="F190" s="17">
        <f>IFERROR(('Table G'!$B$14+'Table G'!$B$15)/(1+'Table G'!$B$18)*IF(ABS(((1+$A190)/(1+'Table G'!$B$18))-1)&lt;0.000000001,5,(1-((1+$A190)/(1+'Table G'!$B$18))^5)/(1-((1+$A190)/(1+'Table G'!$B$18))))+('Table G'!$B$14+'Table G'!$B$15)*(1+$A190)^(5-1)*(1+'Table G'!$B$27)/(('Table G'!$B$18-'Table G'!$B$27)*(1+'Table G'!$B$18)^5),"")</f>
        <v>104071.66663438255</v>
      </c>
      <c r="G190" s="17">
        <f>IFERROR(('Table G'!$B$14+'Table G'!$B$15)/(1+'Table G'!$B$18)*IF(ABS(((1+$A190)/(1+'Table G'!$B$18))-1)&lt;0.000000001,10,(1-((1+$A190)/(1+'Table G'!$B$18))^10)/(1-((1+$A190)/(1+'Table G'!$B$18))))+('Table G'!$B$14+'Table G'!$B$15)*(1+$A190)^(10-1)*(1+'Table G'!$B$27)/(('Table G'!$B$18-'Table G'!$B$27)*(1+'Table G'!$B$18)^10),"")</f>
        <v>129407.44685271548</v>
      </c>
    </row>
    <row r="191" spans="1:7" x14ac:dyDescent="0.2">
      <c r="A191" s="8">
        <f>-0.1+187*$B$2</f>
        <v>8.6999999999999994E-2</v>
      </c>
      <c r="B191" s="17">
        <f>IFERROR(('Table G'!$B$14+'Table G'!$B$15)/(1+'Table G'!$B$18)*IF(ABS(((1+$A191)/(1+'Table G'!$B$18))-1)&lt;0.000000001,5,(1-((1+$A191)/(1+'Table G'!$B$18))^5)/(1-((1+$A191)/(1+'Table G'!$B$18))))+('Table G'!$B$14+'Table G'!$B$15)*(1+$A191)^(5-1)*(1+'Table G'!$B$25)/(('Table G'!$B$18-'Table G'!$B$25)*(1+'Table G'!$B$18)^5),"")</f>
        <v>91613.905329499277</v>
      </c>
      <c r="C191" s="17">
        <f>IFERROR(('Table G'!$B$14+'Table G'!$B$15)/(1+'Table G'!$B$18)*IF(ABS(((1+$A191)/(1+'Table G'!$B$18))-1)&lt;0.000000001,10,(1-((1+$A191)/(1+'Table G'!$B$18))^10)/(1-((1+$A191)/(1+'Table G'!$B$18))))+('Table G'!$B$14+'Table G'!$B$15)*(1+$A191)^(10-1)*(1+'Table G'!$B$25)/(('Table G'!$B$18-'Table G'!$B$25)*(1+'Table G'!$B$18)^10),"")</f>
        <v>117101.57702204995</v>
      </c>
      <c r="D191" s="17">
        <f>IFERROR(('Table G'!$B$14+'Table G'!$B$15)/(1+'Table G'!$B$18)*IF(ABS(((1+$A191)/(1+'Table G'!$B$18))-1)&lt;0.000000001,5,(1-((1+$A191)/(1+'Table G'!$B$18))^5)/(1-((1+$A191)/(1+'Table G'!$B$18))))+('Table G'!$B$14+'Table G'!$B$15)*(1+$A191)^(5-1)*(1+'Table G'!$B$26)/(('Table G'!$B$18-'Table G'!$B$26)*(1+'Table G'!$B$18)^5),"")</f>
        <v>97501.482063379488</v>
      </c>
      <c r="E191" s="17">
        <f>IFERROR(('Table G'!$B$14+'Table G'!$B$15)/(1+'Table G'!$B$18)*IF(ABS(((1+$A191)/(1+'Table G'!$B$18))-1)&lt;0.000000001,10,(1-((1+$A191)/(1+'Table G'!$B$18))^10)/(1-((1+$A191)/(1+'Table G'!$B$18))))+('Table G'!$B$14+'Table G'!$B$15)*(1+$A191)^(10-1)*(1+'Table G'!$B$26)/(('Table G'!$B$18-'Table G'!$B$26)*(1+'Table G'!$B$18)^10),"")</f>
        <v>123169.94568584004</v>
      </c>
      <c r="F191" s="17">
        <f>IFERROR(('Table G'!$B$14+'Table G'!$B$15)/(1+'Table G'!$B$18)*IF(ABS(((1+$A191)/(1+'Table G'!$B$18))-1)&lt;0.000000001,5,(1-((1+$A191)/(1+'Table G'!$B$18))^5)/(1-((1+$A191)/(1+'Table G'!$B$18))))+('Table G'!$B$14+'Table G'!$B$15)*(1+$A191)^(5-1)*(1+'Table G'!$B$27)/(('Table G'!$B$18-'Table G'!$B$27)*(1+'Table G'!$B$18)^5),"")</f>
        <v>104413.97419933762</v>
      </c>
      <c r="G191" s="17">
        <f>IFERROR(('Table G'!$B$14+'Table G'!$B$15)/(1+'Table G'!$B$18)*IF(ABS(((1+$A191)/(1+'Table G'!$B$18))-1)&lt;0.000000001,10,(1-((1+$A191)/(1+'Table G'!$B$18))^10)/(1-((1+$A191)/(1+'Table G'!$B$18))))+('Table G'!$B$14+'Table G'!$B$15)*(1+$A191)^(10-1)*(1+'Table G'!$B$27)/(('Table G'!$B$18-'Table G'!$B$27)*(1+'Table G'!$B$18)^10),"")</f>
        <v>130294.7021964695</v>
      </c>
    </row>
    <row r="192" spans="1:7" x14ac:dyDescent="0.2">
      <c r="A192" s="8">
        <f>-0.1+188*$B$2</f>
        <v>8.7999999999999995E-2</v>
      </c>
      <c r="B192" s="17">
        <f>IFERROR(('Table G'!$B$14+'Table G'!$B$15)/(1+'Table G'!$B$18)*IF(ABS(((1+$A192)/(1+'Table G'!$B$18))-1)&lt;0.000000001,5,(1-((1+$A192)/(1+'Table G'!$B$18))^5)/(1-((1+$A192)/(1+'Table G'!$B$18))))+('Table G'!$B$14+'Table G'!$B$15)*(1+$A192)^(5-1)*(1+'Table G'!$B$25)/(('Table G'!$B$18-'Table G'!$B$25)*(1+'Table G'!$B$18)^5),"")</f>
        <v>91909.953090213094</v>
      </c>
      <c r="C192" s="17">
        <f>IFERROR(('Table G'!$B$14+'Table G'!$B$15)/(1+'Table G'!$B$18)*IF(ABS(((1+$A192)/(1+'Table G'!$B$18))-1)&lt;0.000000001,10,(1-((1+$A192)/(1+'Table G'!$B$18))^10)/(1-((1+$A192)/(1+'Table G'!$B$18))))+('Table G'!$B$14+'Table G'!$B$15)*(1+$A192)^(10-1)*(1+'Table G'!$B$25)/(('Table G'!$B$18-'Table G'!$B$25)*(1+'Table G'!$B$18)^10),"")</f>
        <v>117885.27953013437</v>
      </c>
      <c r="D192" s="17">
        <f>IFERROR(('Table G'!$B$14+'Table G'!$B$15)/(1+'Table G'!$B$18)*IF(ABS(((1+$A192)/(1+'Table G'!$B$18))-1)&lt;0.000000001,5,(1-((1+$A192)/(1+'Table G'!$B$18))^5)/(1-((1+$A192)/(1+'Table G'!$B$18))))+('Table G'!$B$14+'Table G'!$B$15)*(1+$A192)^(5-1)*(1+'Table G'!$B$26)/(('Table G'!$B$18-'Table G'!$B$26)*(1+'Table G'!$B$18)^5),"")</f>
        <v>97819.225155275606</v>
      </c>
      <c r="E192" s="17">
        <f>IFERROR(('Table G'!$B$14+'Table G'!$B$15)/(1+'Table G'!$B$18)*IF(ABS(((1+$A192)/(1+'Table G'!$B$18))-1)&lt;0.000000001,10,(1-((1+$A192)/(1+'Table G'!$B$18))^10)/(1-((1+$A192)/(1+'Table G'!$B$18))))+('Table G'!$B$14+'Table G'!$B$15)*(1+$A192)^(10-1)*(1+'Table G'!$B$26)/(('Table G'!$B$18-'Table G'!$B$26)*(1+'Table G'!$B$18)^10),"")</f>
        <v>124004.07756495761</v>
      </c>
      <c r="F192" s="17">
        <f>IFERROR(('Table G'!$B$14+'Table G'!$B$15)/(1+'Table G'!$B$18)*IF(ABS(((1+$A192)/(1+'Table G'!$B$18))-1)&lt;0.000000001,5,(1-((1+$A192)/(1+'Table G'!$B$18))^5)/(1-((1+$A192)/(1+'Table G'!$B$18))))+('Table G'!$B$14+'Table G'!$B$15)*(1+$A192)^(5-1)*(1+'Table G'!$B$27)/(('Table G'!$B$18-'Table G'!$B$27)*(1+'Table G'!$B$18)^5),"")</f>
        <v>104757.18936794087</v>
      </c>
      <c r="G192" s="17">
        <f>IFERROR(('Table G'!$B$14+'Table G'!$B$15)/(1+'Table G'!$B$18)*IF(ABS(((1+$A192)/(1+'Table G'!$B$18))-1)&lt;0.000000001,10,(1-((1+$A192)/(1+'Table G'!$B$18))^10)/(1-((1+$A192)/(1+'Table G'!$B$18))))+('Table G'!$B$14+'Table G'!$B$15)*(1+$A192)^(10-1)*(1+'Table G'!$B$27)/(('Table G'!$B$18-'Table G'!$B$27)*(1+'Table G'!$B$18)^10),"")</f>
        <v>131188.04224330094</v>
      </c>
    </row>
    <row r="193" spans="1:7" x14ac:dyDescent="0.2">
      <c r="A193" s="8">
        <f>-0.1+189*$B$2</f>
        <v>8.8999999999999996E-2</v>
      </c>
      <c r="B193" s="17">
        <f>IFERROR(('Table G'!$B$14+'Table G'!$B$15)/(1+'Table G'!$B$18)*IF(ABS(((1+$A193)/(1+'Table G'!$B$18))-1)&lt;0.000000001,5,(1-((1+$A193)/(1+'Table G'!$B$18))^5)/(1-((1+$A193)/(1+'Table G'!$B$18))))+('Table G'!$B$14+'Table G'!$B$15)*(1+$A193)^(5-1)*(1+'Table G'!$B$25)/(('Table G'!$B$18-'Table G'!$B$25)*(1+'Table G'!$B$18)^5),"")</f>
        <v>92206.779853151485</v>
      </c>
      <c r="C193" s="17">
        <f>IFERROR(('Table G'!$B$14+'Table G'!$B$15)/(1+'Table G'!$B$18)*IF(ABS(((1+$A193)/(1+'Table G'!$B$18))-1)&lt;0.000000001,10,(1-((1+$A193)/(1+'Table G'!$B$18))^10)/(1-((1+$A193)/(1+'Table G'!$B$18))))+('Table G'!$B$14+'Table G'!$B$15)*(1+$A193)^(10-1)*(1+'Table G'!$B$25)/(('Table G'!$B$18-'Table G'!$B$25)*(1+'Table G'!$B$18)^10),"")</f>
        <v>118674.29538203319</v>
      </c>
      <c r="D193" s="17">
        <f>IFERROR(('Table G'!$B$14+'Table G'!$B$15)/(1+'Table G'!$B$18)*IF(ABS(((1+$A193)/(1+'Table G'!$B$18))-1)&lt;0.000000001,5,(1-((1+$A193)/(1+'Table G'!$B$18))^5)/(1-((1+$A193)/(1+'Table G'!$B$18))))+('Table G'!$B$14+'Table G'!$B$15)*(1+$A193)^(5-1)*(1+'Table G'!$B$26)/(('Table G'!$B$18-'Table G'!$B$26)*(1+'Table G'!$B$18)^5),"")</f>
        <v>98137.807153627902</v>
      </c>
      <c r="E193" s="17">
        <f>IFERROR(('Table G'!$B$14+'Table G'!$B$15)/(1+'Table G'!$B$18)*IF(ABS(((1+$A193)/(1+'Table G'!$B$18))-1)&lt;0.000000001,10,(1-((1+$A193)/(1+'Table G'!$B$18))^10)/(1-((1+$A193)/(1+'Table G'!$B$18))))+('Table G'!$B$14+'Table G'!$B$15)*(1+$A193)^(10-1)*(1+'Table G'!$B$26)/(('Table G'!$B$18-'Table G'!$B$26)*(1+'Table G'!$B$18)^10),"")</f>
        <v>124843.89495852869</v>
      </c>
      <c r="F193" s="17">
        <f>IFERROR(('Table G'!$B$14+'Table G'!$B$15)/(1+'Table G'!$B$18)*IF(ABS(((1+$A193)/(1+'Table G'!$B$18))-1)&lt;0.000000001,5,(1-((1+$A193)/(1+'Table G'!$B$18))^5)/(1-((1+$A193)/(1+'Table G'!$B$18))))+('Table G'!$B$14+'Table G'!$B$15)*(1+$A193)^(5-1)*(1+'Table G'!$B$27)/(('Table G'!$B$18-'Table G'!$B$27)*(1+'Table G'!$B$18)^5),"")</f>
        <v>105101.31377542207</v>
      </c>
      <c r="G193" s="17">
        <f>IFERROR(('Table G'!$B$14+'Table G'!$B$15)/(1+'Table G'!$B$18)*IF(ABS(((1+$A193)/(1+'Table G'!$B$18))-1)&lt;0.000000001,10,(1-((1+$A193)/(1+'Table G'!$B$18))^10)/(1-((1+$A193)/(1+'Table G'!$B$18))))+('Table G'!$B$14+'Table G'!$B$15)*(1+$A193)^(10-1)*(1+'Table G'!$B$27)/(('Table G'!$B$18-'Table G'!$B$27)*(1+'Table G'!$B$18)^10),"")</f>
        <v>132087.50476307201</v>
      </c>
    </row>
    <row r="194" spans="1:7" x14ac:dyDescent="0.2">
      <c r="A194" s="8">
        <f>-0.1+190*$B$2</f>
        <v>0.09</v>
      </c>
      <c r="B194" s="17">
        <f>IFERROR(('Table G'!$B$14+'Table G'!$B$15)/(1+'Table G'!$B$18)*IF(ABS(((1+$A194)/(1+'Table G'!$B$18))-1)&lt;0.000000001,5,(1-((1+$A194)/(1+'Table G'!$B$18))^5)/(1-((1+$A194)/(1+'Table G'!$B$18))))+('Table G'!$B$14+'Table G'!$B$15)*(1+$A194)^(5-1)*(1+'Table G'!$B$25)/(('Table G'!$B$18-'Table G'!$B$25)*(1+'Table G'!$B$18)^5),"")</f>
        <v>92504.387015513625</v>
      </c>
      <c r="C194" s="17">
        <f>IFERROR(('Table G'!$B$14+'Table G'!$B$15)/(1+'Table G'!$B$18)*IF(ABS(((1+$A194)/(1+'Table G'!$B$18))-1)&lt;0.000000001,10,(1-((1+$A194)/(1+'Table G'!$B$18))^10)/(1-((1+$A194)/(1+'Table G'!$B$18))))+('Table G'!$B$14+'Table G'!$B$15)*(1+$A194)^(10-1)*(1+'Table G'!$B$25)/(('Table G'!$B$18-'Table G'!$B$25)*(1+'Table G'!$B$18)^10),"")</f>
        <v>119468.65733124087</v>
      </c>
      <c r="D194" s="17">
        <f>IFERROR(('Table G'!$B$14+'Table G'!$B$15)/(1+'Table G'!$B$18)*IF(ABS(((1+$A194)/(1+'Table G'!$B$18))-1)&lt;0.000000001,5,(1-((1+$A194)/(1+'Table G'!$B$18))^5)/(1-((1+$A194)/(1+'Table G'!$B$18))))+('Table G'!$B$14+'Table G'!$B$15)*(1+$A194)^(5-1)*(1+'Table G'!$B$26)/(('Table G'!$B$18-'Table G'!$B$26)*(1+'Table G'!$B$18)^5),"")</f>
        <v>98457.229565804242</v>
      </c>
      <c r="E194" s="17">
        <f>IFERROR(('Table G'!$B$14+'Table G'!$B$15)/(1+'Table G'!$B$18)*IF(ABS(((1+$A194)/(1+'Table G'!$B$18))-1)&lt;0.000000001,10,(1-((1+$A194)/(1+'Table G'!$B$18))^10)/(1-((1+$A194)/(1+'Table G'!$B$18))))+('Table G'!$B$14+'Table G'!$B$15)*(1+$A194)^(10-1)*(1+'Table G'!$B$26)/(('Table G'!$B$18-'Table G'!$B$26)*(1+'Table G'!$B$18)^10),"")</f>
        <v>125689.43302113861</v>
      </c>
      <c r="F194" s="17">
        <f>IFERROR(('Table G'!$B$14+'Table G'!$B$15)/(1+'Table G'!$B$18)*IF(ABS(((1+$A194)/(1+'Table G'!$B$18))-1)&lt;0.000000001,5,(1-((1+$A194)/(1+'Table G'!$B$18))^5)/(1-((1+$A194)/(1+'Table G'!$B$18))))+('Table G'!$B$14+'Table G'!$B$15)*(1+$A194)^(5-1)*(1+'Table G'!$B$27)/(('Table G'!$B$18-'Table G'!$B$27)*(1+'Table G'!$B$18)^5),"")</f>
        <v>105446.34905849601</v>
      </c>
      <c r="G194" s="17">
        <f>IFERROR(('Table G'!$B$14+'Table G'!$B$15)/(1+'Table G'!$B$18)*IF(ABS(((1+$A194)/(1+'Table G'!$B$18))-1)&lt;0.000000001,10,(1-((1+$A194)/(1+'Table G'!$B$18))^10)/(1-((1+$A194)/(1+'Table G'!$B$18))))+('Table G'!$B$14+'Table G'!$B$15)*(1+$A194)^(10-1)*(1+'Table G'!$B$27)/(('Table G'!$B$18-'Table G'!$B$27)*(1+'Table G'!$B$18)^10),"")</f>
        <v>132993.12772944308</v>
      </c>
    </row>
    <row r="195" spans="1:7" x14ac:dyDescent="0.2">
      <c r="A195" s="8">
        <f>-0.1+191*$B$2</f>
        <v>9.0999999999999998E-2</v>
      </c>
      <c r="B195" s="17">
        <f>IFERROR(('Table G'!$B$14+'Table G'!$B$15)/(1+'Table G'!$B$18)*IF(ABS(((1+$A195)/(1+'Table G'!$B$18))-1)&lt;0.000000001,5,(1-((1+$A195)/(1+'Table G'!$B$18))^5)/(1-((1+$A195)/(1+'Table G'!$B$18))))+('Table G'!$B$14+'Table G'!$B$15)*(1+$A195)^(5-1)*(1+'Table G'!$B$25)/(('Table G'!$B$18-'Table G'!$B$25)*(1+'Table G'!$B$18)^5),"")</f>
        <v>92802.775975761833</v>
      </c>
      <c r="C195" s="17">
        <f>IFERROR(('Table G'!$B$14+'Table G'!$B$15)/(1+'Table G'!$B$18)*IF(ABS(((1+$A195)/(1+'Table G'!$B$18))-1)&lt;0.000000001,10,(1-((1+$A195)/(1+'Table G'!$B$18))^10)/(1-((1+$A195)/(1+'Table G'!$B$18))))+('Table G'!$B$14+'Table G'!$B$15)*(1+$A195)^(10-1)*(1+'Table G'!$B$25)/(('Table G'!$B$18-'Table G'!$B$25)*(1+'Table G'!$B$18)^10),"")</f>
        <v>120268.39830713201</v>
      </c>
      <c r="D195" s="17">
        <f>IFERROR(('Table G'!$B$14+'Table G'!$B$15)/(1+'Table G'!$B$18)*IF(ABS(((1+$A195)/(1+'Table G'!$B$18))-1)&lt;0.000000001,5,(1-((1+$A195)/(1+'Table G'!$B$18))^5)/(1-((1+$A195)/(1+'Table G'!$B$18))))+('Table G'!$B$14+'Table G'!$B$15)*(1+$A195)^(5-1)*(1+'Table G'!$B$26)/(('Table G'!$B$18-'Table G'!$B$26)*(1+'Table G'!$B$18)^5),"")</f>
        <v>98777.493900536821</v>
      </c>
      <c r="E195" s="17">
        <f>IFERROR(('Table G'!$B$14+'Table G'!$B$15)/(1+'Table G'!$B$18)*IF(ABS(((1+$A195)/(1+'Table G'!$B$18))-1)&lt;0.000000001,10,(1-((1+$A195)/(1+'Table G'!$B$18))^10)/(1-((1+$A195)/(1+'Table G'!$B$18))))+('Table G'!$B$14+'Table G'!$B$15)*(1+$A195)^(10-1)*(1+'Table G'!$B$26)/(('Table G'!$B$18-'Table G'!$B$26)*(1+'Table G'!$B$18)^10),"")</f>
        <v>126540.72709651827</v>
      </c>
      <c r="F195" s="17">
        <f>IFERROR(('Table G'!$B$14+'Table G'!$B$15)/(1+'Table G'!$B$18)*IF(ABS(((1+$A195)/(1+'Table G'!$B$18))-1)&lt;0.000000001,5,(1-((1+$A195)/(1+'Table G'!$B$18))^5)/(1-((1+$A195)/(1+'Table G'!$B$18))))+('Table G'!$B$14+'Table G'!$B$15)*(1+$A195)^(5-1)*(1+'Table G'!$B$27)/(('Table G'!$B$18-'Table G'!$B$27)*(1+'Table G'!$B$18)^5),"")</f>
        <v>105792.29685536066</v>
      </c>
      <c r="G195" s="17">
        <f>IFERROR(('Table G'!$B$14+'Table G'!$B$15)/(1+'Table G'!$B$18)*IF(ABS(((1+$A195)/(1+'Table G'!$B$18))-1)&lt;0.000000001,10,(1-((1+$A195)/(1+'Table G'!$B$18))^10)/(1-((1+$A195)/(1+'Table G'!$B$18))))+('Table G'!$B$14+'Table G'!$B$15)*(1+$A195)^(10-1)*(1+'Table G'!$B$27)/(('Table G'!$B$18-'Table G'!$B$27)*(1+'Table G'!$B$18)^10),"")</f>
        <v>133904.9493207951</v>
      </c>
    </row>
    <row r="196" spans="1:7" x14ac:dyDescent="0.2">
      <c r="A196" s="8">
        <f>-0.1+192*$B$2</f>
        <v>9.1999999999999998E-2</v>
      </c>
      <c r="B196" s="17">
        <f>IFERROR(('Table G'!$B$14+'Table G'!$B$15)/(1+'Table G'!$B$18)*IF(ABS(((1+$A196)/(1+'Table G'!$B$18))-1)&lt;0.000000001,5,(1-((1+$A196)/(1+'Table G'!$B$18))^5)/(1-((1+$A196)/(1+'Table G'!$B$18))))+('Table G'!$B$14+'Table G'!$B$15)*(1+$A196)^(5-1)*(1+'Table G'!$B$25)/(('Table G'!$B$18-'Table G'!$B$25)*(1+'Table G'!$B$18)^5),"")</f>
        <v>93101.948133622675</v>
      </c>
      <c r="C196" s="17">
        <f>IFERROR(('Table G'!$B$14+'Table G'!$B$15)/(1+'Table G'!$B$18)*IF(ABS(((1+$A196)/(1+'Table G'!$B$18))-1)&lt;0.000000001,10,(1-((1+$A196)/(1+'Table G'!$B$18))^10)/(1-((1+$A196)/(1+'Table G'!$B$18))))+('Table G'!$B$14+'Table G'!$B$15)*(1+$A196)^(10-1)*(1+'Table G'!$B$25)/(('Table G'!$B$18-'Table G'!$B$25)*(1+'Table G'!$B$18)^10),"")</f>
        <v>121073.55141575498</v>
      </c>
      <c r="D196" s="17">
        <f>IFERROR(('Table G'!$B$14+'Table G'!$B$15)/(1+'Table G'!$B$18)*IF(ABS(((1+$A196)/(1+'Table G'!$B$18))-1)&lt;0.000000001,5,(1-((1+$A196)/(1+'Table G'!$B$18))^5)/(1-((1+$A196)/(1+'Table G'!$B$18))))+('Table G'!$B$14+'Table G'!$B$15)*(1+$A196)^(5-1)*(1+'Table G'!$B$26)/(('Table G'!$B$18-'Table G'!$B$26)*(1+'Table G'!$B$18)^5),"")</f>
        <v>99098.6016679233</v>
      </c>
      <c r="E196" s="17">
        <f>IFERROR(('Table G'!$B$14+'Table G'!$B$15)/(1+'Table G'!$B$18)*IF(ABS(((1+$A196)/(1+'Table G'!$B$18))-1)&lt;0.000000001,10,(1-((1+$A196)/(1+'Table G'!$B$18))^10)/(1-((1+$A196)/(1+'Table G'!$B$18))))+('Table G'!$B$14+'Table G'!$B$15)*(1+$A196)^(10-1)*(1+'Table G'!$B$26)/(('Table G'!$B$18-'Table G'!$B$26)*(1+'Table G'!$B$18)^10),"")</f>
        <v>127397.81271839904</v>
      </c>
      <c r="F196" s="17">
        <f>IFERROR(('Table G'!$B$14+'Table G'!$B$15)/(1+'Table G'!$B$18)*IF(ABS(((1+$A196)/(1+'Table G'!$B$18))-1)&lt;0.000000001,5,(1-((1+$A196)/(1+'Table G'!$B$18))^5)/(1-((1+$A196)/(1+'Table G'!$B$18))))+('Table G'!$B$14+'Table G'!$B$15)*(1+$A196)^(5-1)*(1+'Table G'!$B$27)/(('Table G'!$B$18-'Table G'!$B$27)*(1+'Table G'!$B$18)^5),"")</f>
        <v>106139.15880569827</v>
      </c>
      <c r="G196" s="17">
        <f>IFERROR(('Table G'!$B$14+'Table G'!$B$15)/(1+'Table G'!$B$18)*IF(ABS(((1+$A196)/(1+'Table G'!$B$18))-1)&lt;0.000000001,10,(1-((1+$A196)/(1+'Table G'!$B$18))^10)/(1-((1+$A196)/(1+'Table G'!$B$18))))+('Table G'!$B$14+'Table G'!$B$15)*(1+$A196)^(10-1)*(1+'Table G'!$B$27)/(('Table G'!$B$18-'Table G'!$B$27)*(1+'Table G'!$B$18)^10),"")</f>
        <v>134823.00792115612</v>
      </c>
    </row>
    <row r="197" spans="1:7" x14ac:dyDescent="0.2">
      <c r="A197" s="8">
        <f>-0.1+193*$B$2</f>
        <v>9.2999999999999999E-2</v>
      </c>
      <c r="B197" s="17">
        <f>IFERROR(('Table G'!$B$14+'Table G'!$B$15)/(1+'Table G'!$B$18)*IF(ABS(((1+$A197)/(1+'Table G'!$B$18))-1)&lt;0.000000001,5,(1-((1+$A197)/(1+'Table G'!$B$18))^5)/(1-((1+$A197)/(1+'Table G'!$B$18))))+('Table G'!$B$14+'Table G'!$B$15)*(1+$A197)^(5-1)*(1+'Table G'!$B$25)/(('Table G'!$B$18-'Table G'!$B$25)*(1+'Table G'!$B$18)^5),"")</f>
        <v>93401.904890086604</v>
      </c>
      <c r="C197" s="17">
        <f>IFERROR(('Table G'!$B$14+'Table G'!$B$15)/(1+'Table G'!$B$18)*IF(ABS(((1+$A197)/(1+'Table G'!$B$18))-1)&lt;0.000000001,10,(1-((1+$A197)/(1+'Table G'!$B$18))^10)/(1-((1+$A197)/(1+'Table G'!$B$18))))+('Table G'!$B$14+'Table G'!$B$15)*(1+$A197)^(10-1)*(1+'Table G'!$B$25)/(('Table G'!$B$18-'Table G'!$B$25)*(1+'Table G'!$B$18)^10),"")</f>
        <v>121884.14994062764</v>
      </c>
      <c r="D197" s="17">
        <f>IFERROR(('Table G'!$B$14+'Table G'!$B$15)/(1+'Table G'!$B$18)*IF(ABS(((1+$A197)/(1+'Table G'!$B$18))-1)&lt;0.000000001,5,(1-((1+$A197)/(1+'Table G'!$B$18))^5)/(1-((1+$A197)/(1+'Table G'!$B$18))))+('Table G'!$B$14+'Table G'!$B$15)*(1+$A197)^(5-1)*(1+'Table G'!$B$26)/(('Table G'!$B$18-'Table G'!$B$26)*(1+'Table G'!$B$18)^5),"")</f>
        <v>99420.55437942635</v>
      </c>
      <c r="E197" s="17">
        <f>IFERROR(('Table G'!$B$14+'Table G'!$B$15)/(1+'Table G'!$B$18)*IF(ABS(((1+$A197)/(1+'Table G'!$B$18))-1)&lt;0.000000001,10,(1-((1+$A197)/(1+'Table G'!$B$18))^10)/(1-((1+$A197)/(1+'Table G'!$B$18))))+('Table G'!$B$14+'Table G'!$B$15)*(1+$A197)^(10-1)*(1+'Table G'!$B$26)/(('Table G'!$B$18-'Table G'!$B$26)*(1+'Table G'!$B$18)^10),"")</f>
        <v>128260.72561136985</v>
      </c>
      <c r="F197" s="17">
        <f>IFERROR(('Table G'!$B$14+'Table G'!$B$15)/(1+'Table G'!$B$18)*IF(ABS(((1+$A197)/(1+'Table G'!$B$18))-1)&lt;0.000000001,5,(1-((1+$A197)/(1+'Table G'!$B$18))^5)/(1-((1+$A197)/(1+'Table G'!$B$18))))+('Table G'!$B$14+'Table G'!$B$15)*(1+$A197)^(5-1)*(1+'Table G'!$B$27)/(('Table G'!$B$18-'Table G'!$B$27)*(1+'Table G'!$B$18)^5),"")</f>
        <v>106486.93655067499</v>
      </c>
      <c r="G197" s="17">
        <f>IFERROR(('Table G'!$B$14+'Table G'!$B$15)/(1+'Table G'!$B$18)*IF(ABS(((1+$A197)/(1+'Table G'!$B$18))-1)&lt;0.000000001,10,(1-((1+$A197)/(1+'Table G'!$B$18))^10)/(1-((1+$A197)/(1+'Table G'!$B$18))))+('Table G'!$B$14+'Table G'!$B$15)*(1+$A197)^(10-1)*(1+'Table G'!$B$27)/(('Table G'!$B$18-'Table G'!$B$27)*(1+'Table G'!$B$18)^10),"")</f>
        <v>135747.34212113</v>
      </c>
    </row>
    <row r="198" spans="1:7" x14ac:dyDescent="0.2">
      <c r="A198" s="8">
        <f>-0.1+194*$B$2</f>
        <v>9.4E-2</v>
      </c>
      <c r="B198" s="17">
        <f>IFERROR(('Table G'!$B$14+'Table G'!$B$15)/(1+'Table G'!$B$18)*IF(ABS(((1+$A198)/(1+'Table G'!$B$18))-1)&lt;0.000000001,5,(1-((1+$A198)/(1+'Table G'!$B$18))^5)/(1-((1+$A198)/(1+'Table G'!$B$18))))+('Table G'!$B$14+'Table G'!$B$15)*(1+$A198)^(5-1)*(1+'Table G'!$B$25)/(('Table G'!$B$18-'Table G'!$B$25)*(1+'Table G'!$B$18)^5),"")</f>
        <v>93702.647647408245</v>
      </c>
      <c r="C198" s="17">
        <f>IFERROR(('Table G'!$B$14+'Table G'!$B$15)/(1+'Table G'!$B$18)*IF(ABS(((1+$A198)/(1+'Table G'!$B$18))-1)&lt;0.000000001,10,(1-((1+$A198)/(1+'Table G'!$B$18))^10)/(1-((1+$A198)/(1+'Table G'!$B$18))))+('Table G'!$B$14+'Table G'!$B$15)*(1+$A198)^(10-1)*(1+'Table G'!$B$25)/(('Table G'!$B$18-'Table G'!$B$25)*(1+'Table G'!$B$18)^10),"")</f>
        <v>122700.22734353787</v>
      </c>
      <c r="D198" s="17">
        <f>IFERROR(('Table G'!$B$14+'Table G'!$B$15)/(1+'Table G'!$B$18)*IF(ABS(((1+$A198)/(1+'Table G'!$B$18))-1)&lt;0.000000001,5,(1-((1+$A198)/(1+'Table G'!$B$18))^5)/(1-((1+$A198)/(1+'Table G'!$B$18))))+('Table G'!$B$14+'Table G'!$B$15)*(1+$A198)^(5-1)*(1+'Table G'!$B$26)/(('Table G'!$B$18-'Table G'!$B$26)*(1+'Table G'!$B$18)^5),"")</f>
        <v>99743.353547874227</v>
      </c>
      <c r="E198" s="17">
        <f>IFERROR(('Table G'!$B$14+'Table G'!$B$15)/(1+'Table G'!$B$18)*IF(ABS(((1+$A198)/(1+'Table G'!$B$18))-1)&lt;0.000000001,10,(1-((1+$A198)/(1+'Table G'!$B$18))^10)/(1-((1+$A198)/(1+'Table G'!$B$18))))+('Table G'!$B$14+'Table G'!$B$15)*(1+$A198)^(10-1)*(1+'Table G'!$B$26)/(('Table G'!$B$18-'Table G'!$B$26)*(1+'Table G'!$B$18)^10),"")</f>
        <v>129129.50169173887</v>
      </c>
      <c r="F198" s="17">
        <f>IFERROR(('Table G'!$B$14+'Table G'!$B$15)/(1+'Table G'!$B$18)*IF(ABS(((1+$A198)/(1+'Table G'!$B$18))-1)&lt;0.000000001,5,(1-((1+$A198)/(1+'Table G'!$B$18))^5)/(1-((1+$A198)/(1+'Table G'!$B$18))))+('Table G'!$B$14+'Table G'!$B$15)*(1+$A198)^(5-1)*(1+'Table G'!$B$27)/(('Table G'!$B$18-'Table G'!$B$27)*(1+'Table G'!$B$18)^5),"")</f>
        <v>106835.63173294126</v>
      </c>
      <c r="G198" s="17">
        <f>IFERROR(('Table G'!$B$14+'Table G'!$B$15)/(1+'Table G'!$B$18)*IF(ABS(((1+$A198)/(1+'Table G'!$B$18))-1)&lt;0.000000001,10,(1-((1+$A198)/(1+'Table G'!$B$18))^10)/(1-((1+$A198)/(1+'Table G'!$B$18))))+('Table G'!$B$14+'Table G'!$B$15)*(1+$A198)^(10-1)*(1+'Table G'!$B$27)/(('Table G'!$B$18-'Table G'!$B$27)*(1+'Table G'!$B$18)^10),"")</f>
        <v>136677.99071883078</v>
      </c>
    </row>
    <row r="199" spans="1:7" x14ac:dyDescent="0.2">
      <c r="A199" s="8">
        <f>-0.1+195*$B$2</f>
        <v>9.5000000000000001E-2</v>
      </c>
      <c r="B199" s="17">
        <f>IFERROR(('Table G'!$B$14+'Table G'!$B$15)/(1+'Table G'!$B$18)*IF(ABS(((1+$A199)/(1+'Table G'!$B$18))-1)&lt;0.000000001,5,(1-((1+$A199)/(1+'Table G'!$B$18))^5)/(1-((1+$A199)/(1+'Table G'!$B$18))))+('Table G'!$B$14+'Table G'!$B$15)*(1+$A199)^(5-1)*(1+'Table G'!$B$25)/(('Table G'!$B$18-'Table G'!$B$25)*(1+'Table G'!$B$18)^5),"")</f>
        <v>94004.177809106361</v>
      </c>
      <c r="C199" s="17">
        <f>IFERROR(('Table G'!$B$14+'Table G'!$B$15)/(1+'Table G'!$B$18)*IF(ABS(((1+$A199)/(1+'Table G'!$B$18))-1)&lt;0.000000001,10,(1-((1+$A199)/(1+'Table G'!$B$18))^10)/(1-((1+$A199)/(1+'Table G'!$B$18))))+('Table G'!$B$14+'Table G'!$B$15)*(1+$A199)^(10-1)*(1+'Table G'!$B$25)/(('Table G'!$B$18-'Table G'!$B$25)*(1+'Table G'!$B$18)^10),"")</f>
        <v>123521.81726534502</v>
      </c>
      <c r="D199" s="17">
        <f>IFERROR(('Table G'!$B$14+'Table G'!$B$15)/(1+'Table G'!$B$18)*IF(ABS(((1+$A199)/(1+'Table G'!$B$18))-1)&lt;0.000000001,5,(1-((1+$A199)/(1+'Table G'!$B$18))^5)/(1-((1+$A199)/(1+'Table G'!$B$18))))+('Table G'!$B$14+'Table G'!$B$15)*(1+$A199)^(5-1)*(1+'Table G'!$B$26)/(('Table G'!$B$18-'Table G'!$B$26)*(1+'Table G'!$B$18)^5),"")</f>
        <v>100067.00068746034</v>
      </c>
      <c r="E199" s="17">
        <f>IFERROR(('Table G'!$B$14+'Table G'!$B$15)/(1+'Table G'!$B$18)*IF(ABS(((1+$A199)/(1+'Table G'!$B$18))-1)&lt;0.000000001,10,(1-((1+$A199)/(1+'Table G'!$B$18))^10)/(1-((1+$A199)/(1+'Table G'!$B$18))))+('Table G'!$B$14+'Table G'!$B$15)*(1+$A199)^(10-1)*(1+'Table G'!$B$26)/(('Table G'!$B$18-'Table G'!$B$26)*(1+'Table G'!$B$18)^10),"")</f>
        <v>130004.17706839682</v>
      </c>
      <c r="F199" s="17">
        <f>IFERROR(('Table G'!$B$14+'Table G'!$B$15)/(1+'Table G'!$B$18)*IF(ABS(((1+$A199)/(1+'Table G'!$B$18))-1)&lt;0.000000001,5,(1-((1+$A199)/(1+'Table G'!$B$18))^5)/(1-((1+$A199)/(1+'Table G'!$B$18))))+('Table G'!$B$14+'Table G'!$B$15)*(1+$A199)^(5-1)*(1+'Table G'!$B$27)/(('Table G'!$B$18-'Table G'!$B$27)*(1+'Table G'!$B$18)^5),"")</f>
        <v>107185.24599663164</v>
      </c>
      <c r="G199" s="17">
        <f>IFERROR(('Table G'!$B$14+'Table G'!$B$15)/(1+'Table G'!$B$18)*IF(ABS(((1+$A199)/(1+'Table G'!$B$18))-1)&lt;0.000000001,10,(1-((1+$A199)/(1+'Table G'!$B$18))^10)/(1-((1+$A199)/(1+'Table G'!$B$18))))+('Table G'!$B$14+'Table G'!$B$15)*(1+$A199)^(10-1)*(1+'Table G'!$B$27)/(('Table G'!$B$18-'Table G'!$B$27)*(1+'Table G'!$B$18)^10),"")</f>
        <v>137614.99272081803</v>
      </c>
    </row>
    <row r="200" spans="1:7" x14ac:dyDescent="0.2">
      <c r="A200" s="8">
        <f>-0.1+196*$B$2</f>
        <v>9.6000000000000002E-2</v>
      </c>
      <c r="B200" s="17">
        <f>IFERROR(('Table G'!$B$14+'Table G'!$B$15)/(1+'Table G'!$B$18)*IF(ABS(((1+$A200)/(1+'Table G'!$B$18))-1)&lt;0.000000001,5,(1-((1+$A200)/(1+'Table G'!$B$18))^5)/(1-((1+$A200)/(1+'Table G'!$B$18))))+('Table G'!$B$14+'Table G'!$B$15)*(1+$A200)^(5-1)*(1+'Table G'!$B$25)/(('Table G'!$B$18-'Table G'!$B$25)*(1+'Table G'!$B$18)^5),"")</f>
        <v>94306.496779963694</v>
      </c>
      <c r="C200" s="17">
        <f>IFERROR(('Table G'!$B$14+'Table G'!$B$15)/(1+'Table G'!$B$18)*IF(ABS(((1+$A200)/(1+'Table G'!$B$18))-1)&lt;0.000000001,10,(1-((1+$A200)/(1+'Table G'!$B$18))^10)/(1-((1+$A200)/(1+'Table G'!$B$18))))+('Table G'!$B$14+'Table G'!$B$15)*(1+$A200)^(10-1)*(1+'Table G'!$B$25)/(('Table G'!$B$18-'Table G'!$B$25)*(1+'Table G'!$B$18)^10),"")</f>
        <v>124348.95352678429</v>
      </c>
      <c r="D200" s="17">
        <f>IFERROR(('Table G'!$B$14+'Table G'!$B$15)/(1+'Table G'!$B$18)*IF(ABS(((1+$A200)/(1+'Table G'!$B$18))-1)&lt;0.000000001,5,(1-((1+$A200)/(1+'Table G'!$B$18))^5)/(1-((1+$A200)/(1+'Table G'!$B$18))))+('Table G'!$B$14+'Table G'!$B$15)*(1+$A200)^(5-1)*(1+'Table G'!$B$26)/(('Table G'!$B$18-'Table G'!$B$26)*(1+'Table G'!$B$18)^5),"")</f>
        <v>100391.49731374338</v>
      </c>
      <c r="E200" s="17">
        <f>IFERROR(('Table G'!$B$14+'Table G'!$B$15)/(1+'Table G'!$B$18)*IF(ABS(((1+$A200)/(1+'Table G'!$B$18))-1)&lt;0.000000001,10,(1-((1+$A200)/(1+'Table G'!$B$18))^10)/(1-((1+$A200)/(1+'Table G'!$B$18))))+('Table G'!$B$14+'Table G'!$B$15)*(1+$A200)^(10-1)*(1+'Table G'!$B$26)/(('Table G'!$B$18-'Table G'!$B$26)*(1+'Table G'!$B$18)^10),"")</f>
        <v>130884.78804368337</v>
      </c>
      <c r="F200" s="17">
        <f>IFERROR(('Table G'!$B$14+'Table G'!$B$15)/(1+'Table G'!$B$18)*IF(ABS(((1+$A200)/(1+'Table G'!$B$18))-1)&lt;0.000000001,5,(1-((1+$A200)/(1+'Table G'!$B$18))^5)/(1-((1+$A200)/(1+'Table G'!$B$18))))+('Table G'!$B$14+'Table G'!$B$15)*(1+$A200)^(5-1)*(1+'Table G'!$B$27)/(('Table G'!$B$18-'Table G'!$B$27)*(1+'Table G'!$B$18)^5),"")</f>
        <v>107535.78098736471</v>
      </c>
      <c r="G200" s="17">
        <f>IFERROR(('Table G'!$B$14+'Table G'!$B$15)/(1+'Table G'!$B$18)*IF(ABS(((1+$A200)/(1+'Table G'!$B$18))-1)&lt;0.000000001,10,(1-((1+$A200)/(1+'Table G'!$B$18))^10)/(1-((1+$A200)/(1+'Table G'!$B$18))))+('Table G'!$B$14+'Table G'!$B$15)*(1+$A200)^(10-1)*(1+'Table G'!$B$27)/(('Table G'!$B$18-'Table G'!$B$27)*(1+'Table G'!$B$18)^10),"")</f>
        <v>138558.38734303607</v>
      </c>
    </row>
    <row r="201" spans="1:7" x14ac:dyDescent="0.2">
      <c r="A201" s="8">
        <f>-0.1+197*$B$2</f>
        <v>9.7000000000000003E-2</v>
      </c>
      <c r="B201" s="17">
        <f>IFERROR(('Table G'!$B$14+'Table G'!$B$15)/(1+'Table G'!$B$18)*IF(ABS(((1+$A201)/(1+'Table G'!$B$18))-1)&lt;0.000000001,5,(1-((1+$A201)/(1+'Table G'!$B$18))^5)/(1-((1+$A201)/(1+'Table G'!$B$18))))+('Table G'!$B$14+'Table G'!$B$15)*(1+$A201)^(5-1)*(1+'Table G'!$B$25)/(('Table G'!$B$18-'Table G'!$B$25)*(1+'Table G'!$B$18)^5),"")</f>
        <v>94609.605966026691</v>
      </c>
      <c r="C201" s="17">
        <f>IFERROR(('Table G'!$B$14+'Table G'!$B$15)/(1+'Table G'!$B$18)*IF(ABS(((1+$A201)/(1+'Table G'!$B$18))-1)&lt;0.000000001,10,(1-((1+$A201)/(1+'Table G'!$B$18))^10)/(1-((1+$A201)/(1+'Table G'!$B$18))))+('Table G'!$B$14+'Table G'!$B$15)*(1+$A201)^(10-1)*(1+'Table G'!$B$25)/(('Table G'!$B$18-'Table G'!$B$25)*(1+'Table G'!$B$18)^10),"")</f>
        <v>125181.67012927435</v>
      </c>
      <c r="D201" s="17">
        <f>IFERROR(('Table G'!$B$14+'Table G'!$B$15)/(1+'Table G'!$B$18)*IF(ABS(((1+$A201)/(1+'Table G'!$B$18))-1)&lt;0.000000001,5,(1-((1+$A201)/(1+'Table G'!$B$18))^5)/(1-((1+$A201)/(1+'Table G'!$B$18))))+('Table G'!$B$14+'Table G'!$B$15)*(1+$A201)^(5-1)*(1+'Table G'!$B$26)/(('Table G'!$B$18-'Table G'!$B$26)*(1+'Table G'!$B$18)^5),"")</f>
        <v>100716.84494364698</v>
      </c>
      <c r="E201" s="17">
        <f>IFERROR(('Table G'!$B$14+'Table G'!$B$15)/(1+'Table G'!$B$18)*IF(ABS(((1+$A201)/(1+'Table G'!$B$18))-1)&lt;0.000000001,10,(1-((1+$A201)/(1+'Table G'!$B$18))^10)/(1-((1+$A201)/(1+'Table G'!$B$18))))+('Table G'!$B$14+'Table G'!$B$15)*(1+$A201)^(10-1)*(1+'Table G'!$B$26)/(('Table G'!$B$18-'Table G'!$B$26)*(1+'Table G'!$B$18)^10),"")</f>
        <v>131771.3711142567</v>
      </c>
      <c r="F201" s="17">
        <f>IFERROR(('Table G'!$B$14+'Table G'!$B$15)/(1+'Table G'!$B$18)*IF(ABS(((1+$A201)/(1+'Table G'!$B$18))-1)&lt;0.000000001,5,(1-((1+$A201)/(1+'Table G'!$B$18))^5)/(1-((1+$A201)/(1+'Table G'!$B$18))))+('Table G'!$B$14+'Table G'!$B$15)*(1+$A201)^(5-1)*(1+'Table G'!$B$27)/(('Table G'!$B$18-'Table G'!$B$27)*(1+'Table G'!$B$18)^5),"")</f>
        <v>107887.2383522428</v>
      </c>
      <c r="G201" s="17">
        <f>IFERROR(('Table G'!$B$14+'Table G'!$B$15)/(1+'Table G'!$B$18)*IF(ABS(((1+$A201)/(1+'Table G'!$B$18))-1)&lt;0.000000001,10,(1-((1+$A201)/(1+'Table G'!$B$18))^10)/(1-((1+$A201)/(1+'Table G'!$B$18))))+('Table G'!$B$14+'Table G'!$B$15)*(1+$A201)^(10-1)*(1+'Table G'!$B$27)/(('Table G'!$B$18-'Table G'!$B$27)*(1+'Table G'!$B$18)^10),"")</f>
        <v>139508.21401175647</v>
      </c>
    </row>
    <row r="202" spans="1:7" x14ac:dyDescent="0.2">
      <c r="A202" s="8">
        <f>-0.1+198*$B$2</f>
        <v>9.8000000000000004E-2</v>
      </c>
      <c r="B202" s="17">
        <f>IFERROR(('Table G'!$B$14+'Table G'!$B$15)/(1+'Table G'!$B$18)*IF(ABS(((1+$A202)/(1+'Table G'!$B$18))-1)&lt;0.000000001,5,(1-((1+$A202)/(1+'Table G'!$B$18))^5)/(1-((1+$A202)/(1+'Table G'!$B$18))))+('Table G'!$B$14+'Table G'!$B$15)*(1+$A202)^(5-1)*(1+'Table G'!$B$25)/(('Table G'!$B$18-'Table G'!$B$25)*(1+'Table G'!$B$18)^5),"")</f>
        <v>94913.506774606169</v>
      </c>
      <c r="C202" s="17">
        <f>IFERROR(('Table G'!$B$14+'Table G'!$B$15)/(1+'Table G'!$B$18)*IF(ABS(((1+$A202)/(1+'Table G'!$B$18))-1)&lt;0.000000001,10,(1-((1+$A202)/(1+'Table G'!$B$18))^10)/(1-((1+$A202)/(1+'Table G'!$B$18))))+('Table G'!$B$14+'Table G'!$B$15)*(1+$A202)^(10-1)*(1+'Table G'!$B$25)/(('Table G'!$B$18-'Table G'!$B$25)*(1+'Table G'!$B$18)^10),"")</f>
        <v>126020.00125572993</v>
      </c>
      <c r="D202" s="17">
        <f>IFERROR(('Table G'!$B$14+'Table G'!$B$15)/(1+'Table G'!$B$18)*IF(ABS(((1+$A202)/(1+'Table G'!$B$18))-1)&lt;0.000000001,5,(1-((1+$A202)/(1+'Table G'!$B$18))^5)/(1-((1+$A202)/(1+'Table G'!$B$18))))+('Table G'!$B$14+'Table G'!$B$15)*(1+$A202)^(5-1)*(1+'Table G'!$B$26)/(('Table G'!$B$18-'Table G'!$B$26)*(1+'Table G'!$B$18)^5),"")</f>
        <v>101043.04509546023</v>
      </c>
      <c r="E202" s="17">
        <f>IFERROR(('Table G'!$B$14+'Table G'!$B$15)/(1+'Table G'!$B$18)*IF(ABS(((1+$A202)/(1+'Table G'!$B$18))-1)&lt;0.000000001,10,(1-((1+$A202)/(1+'Table G'!$B$18))^10)/(1-((1+$A202)/(1+'Table G'!$B$18))))+('Table G'!$B$14+'Table G'!$B$15)*(1+$A202)^(10-1)*(1+'Table G'!$B$26)/(('Table G'!$B$18-'Table G'!$B$26)*(1+'Table G'!$B$18)^10),"")</f>
        <v>132663.96297196863</v>
      </c>
      <c r="F202" s="17">
        <f>IFERROR(('Table G'!$B$14+'Table G'!$B$15)/(1+'Table G'!$B$18)*IF(ABS(((1+$A202)/(1+'Table G'!$B$18))-1)&lt;0.000000001,5,(1-((1+$A202)/(1+'Table G'!$B$18))^5)/(1-((1+$A202)/(1+'Table G'!$B$18))))+('Table G'!$B$14+'Table G'!$B$15)*(1+$A202)^(5-1)*(1+'Table G'!$B$27)/(('Table G'!$B$18-'Table G'!$B$27)*(1+'Table G'!$B$18)^5),"")</f>
        <v>108239.6197398527</v>
      </c>
      <c r="G202" s="17">
        <f>IFERROR(('Table G'!$B$14+'Table G'!$B$15)/(1+'Table G'!$B$18)*IF(ABS(((1+$A202)/(1+'Table G'!$B$18))-1)&lt;0.000000001,10,(1-((1+$A202)/(1+'Table G'!$B$18))^10)/(1-((1+$A202)/(1+'Table G'!$B$18))))+('Table G'!$B$14+'Table G'!$B$15)*(1+$A202)^(10-1)*(1+'Table G'!$B$27)/(('Table G'!$B$18-'Table G'!$B$27)*(1+'Table G'!$B$18)^10),"")</f>
        <v>140464.51236452642</v>
      </c>
    </row>
    <row r="203" spans="1:7" x14ac:dyDescent="0.2">
      <c r="A203" s="8">
        <f>-0.1+199*$B$2</f>
        <v>9.9000000000000005E-2</v>
      </c>
      <c r="B203" s="17">
        <f>IFERROR(('Table G'!$B$14+'Table G'!$B$15)/(1+'Table G'!$B$18)*IF(ABS(((1+$A203)/(1+'Table G'!$B$18))-1)&lt;0.000000001,5,(1-((1+$A203)/(1+'Table G'!$B$18))^5)/(1-((1+$A203)/(1+'Table G'!$B$18))))+('Table G'!$B$14+'Table G'!$B$15)*(1+$A203)^(5-1)*(1+'Table G'!$B$25)/(('Table G'!$B$18-'Table G'!$B$25)*(1+'Table G'!$B$18)^5),"")</f>
        <v>95218.200614276764</v>
      </c>
      <c r="C203" s="17">
        <f>IFERROR(('Table G'!$B$14+'Table G'!$B$15)/(1+'Table G'!$B$18)*IF(ABS(((1+$A203)/(1+'Table G'!$B$18))-1)&lt;0.000000001,10,(1-((1+$A203)/(1+'Table G'!$B$18))^10)/(1-((1+$A203)/(1+'Table G'!$B$18))))+('Table G'!$B$14+'Table G'!$B$15)*(1+$A203)^(10-1)*(1+'Table G'!$B$25)/(('Table G'!$B$18-'Table G'!$B$25)*(1+'Table G'!$B$18)^10),"")</f>
        <v>126863.98127137331</v>
      </c>
      <c r="D203" s="17">
        <f>IFERROR(('Table G'!$B$14+'Table G'!$B$15)/(1+'Table G'!$B$18)*IF(ABS(((1+$A203)/(1+'Table G'!$B$18))-1)&lt;0.000000001,5,(1-((1+$A203)/(1+'Table G'!$B$18))^5)/(1-((1+$A203)/(1+'Table G'!$B$18))))+('Table G'!$B$14+'Table G'!$B$15)*(1+$A203)^(5-1)*(1+'Table G'!$B$26)/(('Table G'!$B$18-'Table G'!$B$26)*(1+'Table G'!$B$18)^5),"")</f>
        <v>101370.09928883734</v>
      </c>
      <c r="E203" s="17">
        <f>IFERROR(('Table G'!$B$14+'Table G'!$B$15)/(1+'Table G'!$B$18)*IF(ABS(((1+$A203)/(1+'Table G'!$B$18))-1)&lt;0.000000001,10,(1-((1+$A203)/(1+'Table G'!$B$18))^10)/(1-((1+$A203)/(1+'Table G'!$B$18))))+('Table G'!$B$14+'Table G'!$B$15)*(1+$A203)^(10-1)*(1+'Table G'!$B$26)/(('Table G'!$B$18-'Table G'!$B$26)*(1+'Table G'!$B$18)^10),"")</f>
        <v>133562.6005047386</v>
      </c>
      <c r="F203" s="17">
        <f>IFERROR(('Table G'!$B$14+'Table G'!$B$15)/(1+'Table G'!$B$18)*IF(ABS(((1+$A203)/(1+'Table G'!$B$18))-1)&lt;0.000000001,5,(1-((1+$A203)/(1+'Table G'!$B$18))^5)/(1-((1+$A203)/(1+'Table G'!$B$18))))+('Table G'!$B$14+'Table G'!$B$15)*(1+$A203)^(5-1)*(1+'Table G'!$B$27)/(('Table G'!$B$18-'Table G'!$B$27)*(1+'Table G'!$B$18)^5),"")</f>
        <v>108592.92680026496</v>
      </c>
      <c r="G203" s="17">
        <f>IFERROR(('Table G'!$B$14+'Table G'!$B$15)/(1+'Table G'!$B$18)*IF(ABS(((1+$A203)/(1+'Table G'!$B$18))-1)&lt;0.000000001,10,(1-((1+$A203)/(1+'Table G'!$B$18))^10)/(1-((1+$A203)/(1+'Table G'!$B$18))))+('Table G'!$B$14+'Table G'!$B$15)*(1+$A203)^(10-1)*(1+'Table G'!$B$27)/(('Table G'!$B$18-'Table G'!$B$27)*(1+'Table G'!$B$18)^10),"")</f>
        <v>141427.3222511163</v>
      </c>
    </row>
    <row r="204" spans="1:7" x14ac:dyDescent="0.2">
      <c r="A204" s="8">
        <f>-0.1+200*$B$2</f>
        <v>0.1</v>
      </c>
      <c r="B204" s="17">
        <f>IFERROR(('Table G'!$B$14+'Table G'!$B$15)/(1+'Table G'!$B$18)*IF(ABS(((1+$A204)/(1+'Table G'!$B$18))-1)&lt;0.000000001,5,(1-((1+$A204)/(1+'Table G'!$B$18))^5)/(1-((1+$A204)/(1+'Table G'!$B$18))))+('Table G'!$B$14+'Table G'!$B$15)*(1+$A204)^(5-1)*(1+'Table G'!$B$25)/(('Table G'!$B$18-'Table G'!$B$25)*(1+'Table G'!$B$18)^5),"")</f>
        <v>95523.688894877239</v>
      </c>
      <c r="C204" s="17">
        <f>IFERROR(('Table G'!$B$14+'Table G'!$B$15)/(1+'Table G'!$B$18)*IF(ABS(((1+$A204)/(1+'Table G'!$B$18))-1)&lt;0.000000001,10,(1-((1+$A204)/(1+'Table G'!$B$18))^10)/(1-((1+$A204)/(1+'Table G'!$B$18))))+('Table G'!$B$14+'Table G'!$B$15)*(1+$A204)^(10-1)*(1+'Table G'!$B$25)/(('Table G'!$B$18-'Table G'!$B$25)*(1+'Table G'!$B$18)^10),"")</f>
        <v>127713.64472455267</v>
      </c>
      <c r="D204" s="17">
        <f>IFERROR(('Table G'!$B$14+'Table G'!$B$15)/(1+'Table G'!$B$18)*IF(ABS(((1+$A204)/(1+'Table G'!$B$18))-1)&lt;0.000000001,5,(1-((1+$A204)/(1+'Table G'!$B$18))^5)/(1-((1+$A204)/(1+'Table G'!$B$18))))+('Table G'!$B$14+'Table G'!$B$15)*(1+$A204)^(5-1)*(1+'Table G'!$B$26)/(('Table G'!$B$18-'Table G'!$B$26)*(1+'Table G'!$B$18)^5),"")</f>
        <v>101698.00904479792</v>
      </c>
      <c r="E204" s="17">
        <f>IFERROR(('Table G'!$B$14+'Table G'!$B$15)/(1+'Table G'!$B$18)*IF(ABS(((1+$A204)/(1+'Table G'!$B$18))-1)&lt;0.000000001,10,(1-((1+$A204)/(1+'Table G'!$B$18))^10)/(1-((1+$A204)/(1+'Table G'!$B$18))))+('Table G'!$B$14+'Table G'!$B$15)*(1+$A204)^(10-1)*(1+'Table G'!$B$26)/(('Table G'!$B$18-'Table G'!$B$26)*(1+'Table G'!$B$18)^10),"")</f>
        <v>134467.32079743492</v>
      </c>
      <c r="F204" s="17">
        <f>IFERROR(('Table G'!$B$14+'Table G'!$B$15)/(1+'Table G'!$B$18)*IF(ABS(((1+$A204)/(1+'Table G'!$B$18))-1)&lt;0.000000001,5,(1-((1+$A204)/(1+'Table G'!$B$18))^5)/(1-((1+$A204)/(1+'Table G'!$B$18))))+('Table G'!$B$14+'Table G'!$B$15)*(1+$A204)^(5-1)*(1+'Table G'!$B$27)/(('Table G'!$B$18-'Table G'!$B$27)*(1+'Table G'!$B$18)^5),"")</f>
        <v>108947.16118503443</v>
      </c>
      <c r="G204" s="17">
        <f>IFERROR(('Table G'!$B$14+'Table G'!$B$15)/(1+'Table G'!$B$18)*IF(ABS(((1+$A204)/(1+'Table G'!$B$18))-1)&lt;0.000000001,10,(1-((1+$A204)/(1+'Table G'!$B$18))^10)/(1-((1+$A204)/(1+'Table G'!$B$18))))+('Table G'!$B$14+'Table G'!$B$15)*(1+$A204)^(10-1)*(1+'Table G'!$B$27)/(('Table G'!$B$18-'Table G'!$B$27)*(1+'Table G'!$B$18)^10),"")</f>
        <v>142396.68373447465</v>
      </c>
    </row>
    <row r="205" spans="1:7" x14ac:dyDescent="0.2">
      <c r="A205" s="8">
        <f>-0.1+201*$B$2</f>
        <v>0.10100000000000001</v>
      </c>
      <c r="B205" s="17">
        <f>IFERROR(('Table G'!$B$14+'Table G'!$B$15)/(1+'Table G'!$B$18)*IF(ABS(((1+$A205)/(1+'Table G'!$B$18))-1)&lt;0.000000001,5,(1-((1+$A205)/(1+'Table G'!$B$18))^5)/(1-((1+$A205)/(1+'Table G'!$B$18))))+('Table G'!$B$14+'Table G'!$B$15)*(1+$A205)^(5-1)*(1+'Table G'!$B$25)/(('Table G'!$B$18-'Table G'!$B$25)*(1+'Table G'!$B$18)^5),"")</f>
        <v>95829.973027510336</v>
      </c>
      <c r="C205" s="17">
        <f>IFERROR(('Table G'!$B$14+'Table G'!$B$15)/(1+'Table G'!$B$18)*IF(ABS(((1+$A205)/(1+'Table G'!$B$18))-1)&lt;0.000000001,10,(1-((1+$A205)/(1+'Table G'!$B$18))^10)/(1-((1+$A205)/(1+'Table G'!$B$18))))+('Table G'!$B$14+'Table G'!$B$15)*(1+$A205)^(10-1)*(1+'Table G'!$B$25)/(('Table G'!$B$18-'Table G'!$B$25)*(1+'Table G'!$B$18)^10),"")</f>
        <v>128569.02634756046</v>
      </c>
      <c r="D205" s="17">
        <f>IFERROR(('Table G'!$B$14+'Table G'!$B$15)/(1+'Table G'!$B$18)*IF(ABS(((1+$A205)/(1+'Table G'!$B$18))-1)&lt;0.000000001,5,(1-((1+$A205)/(1+'Table G'!$B$18))^5)/(1-((1+$A205)/(1+'Table G'!$B$18))))+('Table G'!$B$14+'Table G'!$B$15)*(1+$A205)^(5-1)*(1+'Table G'!$B$26)/(('Table G'!$B$18-'Table G'!$B$26)*(1+'Table G'!$B$18)^5),"")</f>
        <v>102026.77588572667</v>
      </c>
      <c r="E205" s="17">
        <f>IFERROR(('Table G'!$B$14+'Table G'!$B$15)/(1+'Table G'!$B$18)*IF(ABS(((1+$A205)/(1+'Table G'!$B$18))-1)&lt;0.000000001,10,(1-((1+$A205)/(1+'Table G'!$B$18))^10)/(1-((1+$A205)/(1+'Table G'!$B$18))))+('Table G'!$B$14+'Table G'!$B$15)*(1+$A205)^(10-1)*(1+'Table G'!$B$26)/(('Table G'!$B$18-'Table G'!$B$26)*(1+'Table G'!$B$18)^10),"")</f>
        <v>135378.16113275621</v>
      </c>
      <c r="F205" s="17">
        <f>IFERROR(('Table G'!$B$14+'Table G'!$B$15)/(1+'Table G'!$B$18)*IF(ABS(((1+$A205)/(1+'Table G'!$B$18))-1)&lt;0.000000001,5,(1-((1+$A205)/(1+'Table G'!$B$18))^5)/(1-((1+$A205)/(1+'Table G'!$B$18))))+('Table G'!$B$14+'Table G'!$B$15)*(1+$A205)^(5-1)*(1+'Table G'!$B$27)/(('Table G'!$B$18-'Table G'!$B$27)*(1+'Table G'!$B$18)^5),"")</f>
        <v>109302.32454719991</v>
      </c>
      <c r="G205" s="17">
        <f>IFERROR(('Table G'!$B$14+'Table G'!$B$15)/(1+'Table G'!$B$18)*IF(ABS(((1+$A205)/(1+'Table G'!$B$18))-1)&lt;0.000000001,10,(1-((1+$A205)/(1+'Table G'!$B$18))^10)/(1-((1+$A205)/(1+'Table G'!$B$18))))+('Table G'!$B$14+'Table G'!$B$15)*(1+$A205)^(10-1)*(1+'Table G'!$B$27)/(('Table G'!$B$18-'Table G'!$B$27)*(1+'Table G'!$B$18)^10),"")</f>
        <v>143372.63709168343</v>
      </c>
    </row>
    <row r="206" spans="1:7" x14ac:dyDescent="0.2">
      <c r="A206" s="8">
        <f>-0.1+202*$B$2</f>
        <v>0.10200000000000001</v>
      </c>
      <c r="B206" s="17">
        <f>IFERROR(('Table G'!$B$14+'Table G'!$B$15)/(1+'Table G'!$B$18)*IF(ABS(((1+$A206)/(1+'Table G'!$B$18))-1)&lt;0.000000001,5,(1-((1+$A206)/(1+'Table G'!$B$18))^5)/(1-((1+$A206)/(1+'Table G'!$B$18))))+('Table G'!$B$14+'Table G'!$B$15)*(1+$A206)^(5-1)*(1+'Table G'!$B$25)/(('Table G'!$B$18-'Table G'!$B$25)*(1+'Table G'!$B$18)^5),"")</f>
        <v>96137.054424542846</v>
      </c>
      <c r="C206" s="17">
        <f>IFERROR(('Table G'!$B$14+'Table G'!$B$15)/(1+'Table G'!$B$18)*IF(ABS(((1+$A206)/(1+'Table G'!$B$18))-1)&lt;0.000000001,10,(1-((1+$A206)/(1+'Table G'!$B$18))^10)/(1-((1+$A206)/(1+'Table G'!$B$18))))+('Table G'!$B$14+'Table G'!$B$15)*(1+$A206)^(10-1)*(1+'Table G'!$B$25)/(('Table G'!$B$18-'Table G'!$B$25)*(1+'Table G'!$B$18)^10),"")</f>
        <v>129430.16105745677</v>
      </c>
      <c r="D206" s="17">
        <f>IFERROR(('Table G'!$B$14+'Table G'!$B$15)/(1+'Table G'!$B$18)*IF(ABS(((1+$A206)/(1+'Table G'!$B$18))-1)&lt;0.000000001,5,(1-((1+$A206)/(1+'Table G'!$B$18))^5)/(1-((1+$A206)/(1+'Table G'!$B$18))))+('Table G'!$B$14+'Table G'!$B$15)*(1+$A206)^(5-1)*(1+'Table G'!$B$26)/(('Table G'!$B$18-'Table G'!$B$26)*(1+'Table G'!$B$18)^5),"")</f>
        <v>102356.40133537355</v>
      </c>
      <c r="E206" s="17">
        <f>IFERROR(('Table G'!$B$14+'Table G'!$B$15)/(1+'Table G'!$B$18)*IF(ABS(((1+$A206)/(1+'Table G'!$B$18))-1)&lt;0.000000001,10,(1-((1+$A206)/(1+'Table G'!$B$18))^10)/(1-((1+$A206)/(1+'Table G'!$B$18))))+('Table G'!$B$14+'Table G'!$B$15)*(1+$A206)^(10-1)*(1+'Table G'!$B$26)/(('Table G'!$B$18-'Table G'!$B$26)*(1+'Table G'!$B$18)^10),"")</f>
        <v>136295.15899211803</v>
      </c>
      <c r="F206" s="17">
        <f>IFERROR(('Table G'!$B$14+'Table G'!$B$15)/(1+'Table G'!$B$18)*IF(ABS(((1+$A206)/(1+'Table G'!$B$18))-1)&lt;0.000000001,5,(1-((1+$A206)/(1+'Table G'!$B$18))^5)/(1-((1+$A206)/(1+'Table G'!$B$18))))+('Table G'!$B$14+'Table G'!$B$15)*(1+$A206)^(5-1)*(1+'Table G'!$B$27)/(('Table G'!$B$18-'Table G'!$B$27)*(1+'Table G'!$B$18)^5),"")</f>
        <v>109658.41854128422</v>
      </c>
      <c r="G206" s="17">
        <f>IFERROR(('Table G'!$B$14+'Table G'!$B$15)/(1+'Table G'!$B$18)*IF(ABS(((1+$A206)/(1+'Table G'!$B$18))-1)&lt;0.000000001,10,(1-((1+$A206)/(1+'Table G'!$B$18))^10)/(1-((1+$A206)/(1+'Table G'!$B$18))))+('Table G'!$B$14+'Table G'!$B$15)*(1+$A206)^(10-1)*(1+'Table G'!$B$27)/(('Table G'!$B$18-'Table G'!$B$27)*(1+'Table G'!$B$18)^10),"")</f>
        <v>144355.22281491931</v>
      </c>
    </row>
    <row r="207" spans="1:7" x14ac:dyDescent="0.2">
      <c r="A207" s="8">
        <f>-0.1+203*$B$2</f>
        <v>0.10300000000000001</v>
      </c>
      <c r="B207" s="17">
        <f>IFERROR(('Table G'!$B$14+'Table G'!$B$15)/(1+'Table G'!$B$18)*IF(ABS(((1+$A207)/(1+'Table G'!$B$18))-1)&lt;0.000000001,5,(1-((1+$A207)/(1+'Table G'!$B$18))^5)/(1-((1+$A207)/(1+'Table G'!$B$18))))+('Table G'!$B$14+'Table G'!$B$15)*(1+$A207)^(5-1)*(1+'Table G'!$B$25)/(('Table G'!$B$18-'Table G'!$B$25)*(1+'Table G'!$B$18)^5),"")</f>
        <v>96444.934499605515</v>
      </c>
      <c r="C207" s="17">
        <f>IFERROR(('Table G'!$B$14+'Table G'!$B$15)/(1+'Table G'!$B$18)*IF(ABS(((1+$A207)/(1+'Table G'!$B$18))-1)&lt;0.000000001,10,(1-((1+$A207)/(1+'Table G'!$B$18))^10)/(1-((1+$A207)/(1+'Table G'!$B$18))))+('Table G'!$B$14+'Table G'!$B$15)*(1+$A207)^(10-1)*(1+'Table G'!$B$25)/(('Table G'!$B$18-'Table G'!$B$25)*(1+'Table G'!$B$18)^10),"")</f>
        <v>130297.08395689435</v>
      </c>
      <c r="D207" s="17">
        <f>IFERROR(('Table G'!$B$14+'Table G'!$B$15)/(1+'Table G'!$B$18)*IF(ABS(((1+$A207)/(1+'Table G'!$B$18))-1)&lt;0.000000001,5,(1-((1+$A207)/(1+'Table G'!$B$18))^5)/(1-((1+$A207)/(1+'Table G'!$B$18))))+('Table G'!$B$14+'Table G'!$B$15)*(1+$A207)^(5-1)*(1+'Table G'!$B$26)/(('Table G'!$B$18-'Table G'!$B$26)*(1+'Table G'!$B$18)^5),"")</f>
        <v>102686.88691885376</v>
      </c>
      <c r="E207" s="17">
        <f>IFERROR(('Table G'!$B$14+'Table G'!$B$15)/(1+'Table G'!$B$18)*IF(ABS(((1+$A207)/(1+'Table G'!$B$18))-1)&lt;0.000000001,10,(1-((1+$A207)/(1+'Table G'!$B$18))^10)/(1-((1+$A207)/(1+'Table G'!$B$18))))+('Table G'!$B$14+'Table G'!$B$15)*(1+$A207)^(10-1)*(1+'Table G'!$B$26)/(('Table G'!$B$18-'Table G'!$B$26)*(1+'Table G'!$B$18)^10),"")</f>
        <v>137218.35205654131</v>
      </c>
      <c r="F207" s="17">
        <f>IFERROR(('Table G'!$B$14+'Table G'!$B$15)/(1+'Table G'!$B$18)*IF(ABS(((1+$A207)/(1+'Table G'!$B$18))-1)&lt;0.000000001,5,(1-((1+$A207)/(1+'Table G'!$B$18))^5)/(1-((1+$A207)/(1+'Table G'!$B$18))))+('Table G'!$B$14+'Table G'!$B$15)*(1+$A207)^(5-1)*(1+'Table G'!$B$27)/(('Table G'!$B$18-'Table G'!$B$27)*(1+'Table G'!$B$18)^5),"")</f>
        <v>110015.44482329434</v>
      </c>
      <c r="G207" s="17">
        <f>IFERROR(('Table G'!$B$14+'Table G'!$B$15)/(1+'Table G'!$B$18)*IF(ABS(((1+$A207)/(1+'Table G'!$B$18))-1)&lt;0.000000001,10,(1-((1+$A207)/(1+'Table G'!$B$18))^10)/(1-((1+$A207)/(1+'Table G'!$B$18))))+('Table G'!$B$14+'Table G'!$B$15)*(1+$A207)^(10-1)*(1+'Table G'!$B$27)/(('Table G'!$B$18-'Table G'!$B$27)*(1+'Table G'!$B$18)^10),"")</f>
        <v>145344.48161241654</v>
      </c>
    </row>
    <row r="208" spans="1:7" x14ac:dyDescent="0.2">
      <c r="A208" s="8">
        <f>-0.1+204*$B$2</f>
        <v>0.10400000000000001</v>
      </c>
      <c r="B208" s="17">
        <f>IFERROR(('Table G'!$B$14+'Table G'!$B$15)/(1+'Table G'!$B$18)*IF(ABS(((1+$A208)/(1+'Table G'!$B$18))-1)&lt;0.000000001,5,(1-((1+$A208)/(1+'Table G'!$B$18))^5)/(1-((1+$A208)/(1+'Table G'!$B$18))))+('Table G'!$B$14+'Table G'!$B$15)*(1+$A208)^(5-1)*(1+'Table G'!$B$25)/(('Table G'!$B$18-'Table G'!$B$25)*(1+'Table G'!$B$18)^5),"")</f>
        <v>96753.61466759324</v>
      </c>
      <c r="C208" s="17">
        <f>IFERROR(('Table G'!$B$14+'Table G'!$B$15)/(1+'Table G'!$B$18)*IF(ABS(((1+$A208)/(1+'Table G'!$B$18))-1)&lt;0.000000001,10,(1-((1+$A208)/(1+'Table G'!$B$18))^10)/(1-((1+$A208)/(1+'Table G'!$B$18))))+('Table G'!$B$14+'Table G'!$B$15)*(1+$A208)^(10-1)*(1+'Table G'!$B$25)/(('Table G'!$B$18-'Table G'!$B$25)*(1+'Table G'!$B$18)^10),"")</f>
        <v>131169.83033494727</v>
      </c>
      <c r="D208" s="17">
        <f>IFERROR(('Table G'!$B$14+'Table G'!$B$15)/(1+'Table G'!$B$18)*IF(ABS(((1+$A208)/(1+'Table G'!$B$18))-1)&lt;0.000000001,5,(1-((1+$A208)/(1+'Table G'!$B$18))^5)/(1-((1+$A208)/(1+'Table G'!$B$18))))+('Table G'!$B$14+'Table G'!$B$15)*(1+$A208)^(5-1)*(1+'Table G'!$B$26)/(('Table G'!$B$18-'Table G'!$B$26)*(1+'Table G'!$B$18)^5),"")</f>
        <v>103018.2341626478</v>
      </c>
      <c r="E208" s="17">
        <f>IFERROR(('Table G'!$B$14+'Table G'!$B$15)/(1+'Table G'!$B$18)*IF(ABS(((1+$A208)/(1+'Table G'!$B$18))-1)&lt;0.000000001,10,(1-((1+$A208)/(1+'Table G'!$B$18))^10)/(1-((1+$A208)/(1+'Table G'!$B$18))))+('Table G'!$B$14+'Table G'!$B$15)*(1+$A208)^(10-1)*(1+'Table G'!$B$26)/(('Table G'!$B$18-'Table G'!$B$26)*(1+'Table G'!$B$18)^10),"")</f>
        <v>138147.77820754502</v>
      </c>
      <c r="F208" s="17">
        <f>IFERROR(('Table G'!$B$14+'Table G'!$B$15)/(1+'Table G'!$B$18)*IF(ABS(((1+$A208)/(1+'Table G'!$B$18))-1)&lt;0.000000001,5,(1-((1+$A208)/(1+'Table G'!$B$18))^5)/(1-((1+$A208)/(1+'Table G'!$B$18))))+('Table G'!$B$14+'Table G'!$B$15)*(1+$A208)^(5-1)*(1+'Table G'!$B$27)/(('Table G'!$B$18-'Table G'!$B$27)*(1+'Table G'!$B$18)^5),"")</f>
        <v>110373.40505072128</v>
      </c>
      <c r="G208" s="17">
        <f>IFERROR(('Table G'!$B$14+'Table G'!$B$15)/(1+'Table G'!$B$18)*IF(ABS(((1+$A208)/(1+'Table G'!$B$18))-1)&lt;0.000000001,10,(1-((1+$A208)/(1+'Table G'!$B$18))^10)/(1-((1+$A208)/(1+'Table G'!$B$18))))+('Table G'!$B$14+'Table G'!$B$15)*(1+$A208)^(10-1)*(1+'Table G'!$B$27)/(('Table G'!$B$18-'Table G'!$B$27)*(1+'Table G'!$B$18)^10),"")</f>
        <v>146340.45440943437</v>
      </c>
    </row>
    <row r="209" spans="1:7" x14ac:dyDescent="0.2">
      <c r="A209" s="8">
        <f>-0.1+205*$B$2</f>
        <v>0.10500000000000001</v>
      </c>
      <c r="B209" s="17">
        <f>IFERROR(('Table G'!$B$14+'Table G'!$B$15)/(1+'Table G'!$B$18)*IF(ABS(((1+$A209)/(1+'Table G'!$B$18))-1)&lt;0.000000001,5,(1-((1+$A209)/(1+'Table G'!$B$18))^5)/(1-((1+$A209)/(1+'Table G'!$B$18))))+('Table G'!$B$14+'Table G'!$B$15)*(1+$A209)^(5-1)*(1+'Table G'!$B$25)/(('Table G'!$B$18-'Table G'!$B$25)*(1+'Table G'!$B$18)^5),"")</f>
        <v>97063.096344664722</v>
      </c>
      <c r="C209" s="17">
        <f>IFERROR(('Table G'!$B$14+'Table G'!$B$15)/(1+'Table G'!$B$18)*IF(ABS(((1+$A209)/(1+'Table G'!$B$18))-1)&lt;0.000000001,10,(1-((1+$A209)/(1+'Table G'!$B$18))^10)/(1-((1+$A209)/(1+'Table G'!$B$18))))+('Table G'!$B$14+'Table G'!$B$15)*(1+$A209)^(10-1)*(1+'Table G'!$B$25)/(('Table G'!$B$18-'Table G'!$B$25)*(1+'Table G'!$B$18)^10),"")</f>
        <v>132048.43566794158</v>
      </c>
      <c r="D209" s="17">
        <f>IFERROR(('Table G'!$B$14+'Table G'!$B$15)/(1+'Table G'!$B$18)*IF(ABS(((1+$A209)/(1+'Table G'!$B$18))-1)&lt;0.000000001,5,(1-((1+$A209)/(1+'Table G'!$B$18))^5)/(1-((1+$A209)/(1+'Table G'!$B$18))))+('Table G'!$B$14+'Table G'!$B$15)*(1+$A209)^(5-1)*(1+'Table G'!$B$26)/(('Table G'!$B$18-'Table G'!$B$26)*(1+'Table G'!$B$18)^5),"")</f>
        <v>103350.44459460123</v>
      </c>
      <c r="E209" s="17">
        <f>IFERROR(('Table G'!$B$14+'Table G'!$B$15)/(1+'Table G'!$B$18)*IF(ABS(((1+$A209)/(1+'Table G'!$B$18))-1)&lt;0.000000001,10,(1-((1+$A209)/(1+'Table G'!$B$18))^10)/(1-((1+$A209)/(1+'Table G'!$B$18))))+('Table G'!$B$14+'Table G'!$B$15)*(1+$A209)^(10-1)*(1+'Table G'!$B$26)/(('Table G'!$B$18-'Table G'!$B$26)*(1+'Table G'!$B$18)^10),"")</f>
        <v>139083.47552804067</v>
      </c>
      <c r="F209" s="17">
        <f>IFERROR(('Table G'!$B$14+'Table G'!$B$15)/(1+'Table G'!$B$18)*IF(ABS(((1+$A209)/(1+'Table G'!$B$18))-1)&lt;0.000000001,5,(1-((1+$A209)/(1+'Table G'!$B$18))^5)/(1-((1+$A209)/(1+'Table G'!$B$18))))+('Table G'!$B$14+'Table G'!$B$15)*(1+$A209)^(5-1)*(1+'Table G'!$B$27)/(('Table G'!$B$18-'Table G'!$B$27)*(1+'Table G'!$B$18)^5),"")</f>
        <v>110732.30088254006</v>
      </c>
      <c r="G209" s="17">
        <f>IFERROR(('Table G'!$B$14+'Table G'!$B$15)/(1+'Table G'!$B$18)*IF(ABS(((1+$A209)/(1+'Table G'!$B$18))-1)&lt;0.000000001,10,(1-((1+$A209)/(1+'Table G'!$B$18))^10)/(1-((1+$A209)/(1+'Table G'!$B$18))))+('Table G'!$B$14+'Table G'!$B$15)*(1+$A209)^(10-1)*(1+'Table G'!$B$27)/(('Table G'!$B$18-'Table G'!$B$27)*(1+'Table G'!$B$18)^10),"")</f>
        <v>147343.1823492267</v>
      </c>
    </row>
    <row r="210" spans="1:7" x14ac:dyDescent="0.2">
      <c r="A210" s="8">
        <f>-0.1+206*$B$2</f>
        <v>0.10600000000000001</v>
      </c>
      <c r="B210" s="17">
        <f>IFERROR(('Table G'!$B$14+'Table G'!$B$15)/(1+'Table G'!$B$18)*IF(ABS(((1+$A210)/(1+'Table G'!$B$18))-1)&lt;0.000000001,5,(1-((1+$A210)/(1+'Table G'!$B$18))^5)/(1-((1+$A210)/(1+'Table G'!$B$18))))+('Table G'!$B$14+'Table G'!$B$15)*(1+$A210)^(5-1)*(1+'Table G'!$B$25)/(('Table G'!$B$18-'Table G'!$B$25)*(1+'Table G'!$B$18)^5),"")</f>
        <v>97373.380948243022</v>
      </c>
      <c r="C210" s="17">
        <f>IFERROR(('Table G'!$B$14+'Table G'!$B$15)/(1+'Table G'!$B$18)*IF(ABS(((1+$A210)/(1+'Table G'!$B$18))-1)&lt;0.000000001,10,(1-((1+$A210)/(1+'Table G'!$B$18))^10)/(1-((1+$A210)/(1+'Table G'!$B$18))))+('Table G'!$B$14+'Table G'!$B$15)*(1+$A210)^(10-1)*(1+'Table G'!$B$25)/(('Table G'!$B$18-'Table G'!$B$25)*(1+'Table G'!$B$18)^10),"")</f>
        <v>132932.93562029142</v>
      </c>
      <c r="D210" s="17">
        <f>IFERROR(('Table G'!$B$14+'Table G'!$B$15)/(1+'Table G'!$B$18)*IF(ABS(((1+$A210)/(1+'Table G'!$B$18))-1)&lt;0.000000001,5,(1-((1+$A210)/(1+'Table G'!$B$18))^5)/(1-((1+$A210)/(1+'Table G'!$B$18))))+('Table G'!$B$14+'Table G'!$B$15)*(1+$A210)^(5-1)*(1+'Table G'!$B$26)/(('Table G'!$B$18-'Table G'!$B$26)*(1+'Table G'!$B$18)^5),"")</f>
        <v>103683.51974392511</v>
      </c>
      <c r="E210" s="17">
        <f>IFERROR(('Table G'!$B$14+'Table G'!$B$15)/(1+'Table G'!$B$18)*IF(ABS(((1+$A210)/(1+'Table G'!$B$18))-1)&lt;0.000000001,10,(1-((1+$A210)/(1+'Table G'!$B$18))^10)/(1-((1+$A210)/(1+'Table G'!$B$18))))+('Table G'!$B$14+'Table G'!$B$15)*(1+$A210)^(10-1)*(1+'Table G'!$B$26)/(('Table G'!$B$18-'Table G'!$B$26)*(1+'Table G'!$B$18)^10),"")</f>
        <v>140025.48230323248</v>
      </c>
      <c r="F210" s="17">
        <f>IFERROR(('Table G'!$B$14+'Table G'!$B$15)/(1+'Table G'!$B$18)*IF(ABS(((1+$A210)/(1+'Table G'!$B$18))-1)&lt;0.000000001,5,(1-((1+$A210)/(1+'Table G'!$B$18))^5)/(1-((1+$A210)/(1+'Table G'!$B$18))))+('Table G'!$B$14+'Table G'!$B$15)*(1+$A210)^(5-1)*(1+'Table G'!$B$27)/(('Table G'!$B$18-'Table G'!$B$27)*(1+'Table G'!$B$18)^5),"")</f>
        <v>111092.1339792099</v>
      </c>
      <c r="G210" s="17">
        <f>IFERROR(('Table G'!$B$14+'Table G'!$B$15)/(1+'Table G'!$B$18)*IF(ABS(((1+$A210)/(1+'Table G'!$B$18))-1)&lt;0.000000001,10,(1-((1+$A210)/(1+'Table G'!$B$18))^10)/(1-((1+$A210)/(1+'Table G'!$B$18))))+('Table G'!$B$14+'Table G'!$B$15)*(1+$A210)^(10-1)*(1+'Table G'!$B$27)/(('Table G'!$B$18-'Table G'!$B$27)*(1+'Table G'!$B$18)^10),"")</f>
        <v>148352.7067940179</v>
      </c>
    </row>
    <row r="211" spans="1:7" x14ac:dyDescent="0.2">
      <c r="A211" s="8">
        <f>-0.1+207*$B$2</f>
        <v>0.10700000000000001</v>
      </c>
      <c r="B211" s="17">
        <f>IFERROR(('Table G'!$B$14+'Table G'!$B$15)/(1+'Table G'!$B$18)*IF(ABS(((1+$A211)/(1+'Table G'!$B$18))-1)&lt;0.000000001,5,(1-((1+$A211)/(1+'Table G'!$B$18))^5)/(1-((1+$A211)/(1+'Table G'!$B$18))))+('Table G'!$B$14+'Table G'!$B$15)*(1+$A211)^(5-1)*(1+'Table G'!$B$25)/(('Table G'!$B$18-'Table G'!$B$25)*(1+'Table G'!$B$18)^5),"")</f>
        <v>97684.46989701486</v>
      </c>
      <c r="C211" s="17">
        <f>IFERROR(('Table G'!$B$14+'Table G'!$B$15)/(1+'Table G'!$B$18)*IF(ABS(((1+$A211)/(1+'Table G'!$B$18))-1)&lt;0.000000001,10,(1-((1+$A211)/(1+'Table G'!$B$18))^10)/(1-((1+$A211)/(1+'Table G'!$B$18))))+('Table G'!$B$14+'Table G'!$B$15)*(1+$A211)^(10-1)*(1+'Table G'!$B$25)/(('Table G'!$B$18-'Table G'!$B$25)*(1+'Table G'!$B$18)^10),"")</f>
        <v>133823.36604533417</v>
      </c>
      <c r="D211" s="17">
        <f>IFERROR(('Table G'!$B$14+'Table G'!$B$15)/(1+'Table G'!$B$18)*IF(ABS(((1+$A211)/(1+'Table G'!$B$18))-1)&lt;0.000000001,5,(1-((1+$A211)/(1+'Table G'!$B$18))^5)/(1-((1+$A211)/(1+'Table G'!$B$18))))+('Table G'!$B$14+'Table G'!$B$15)*(1+$A211)^(5-1)*(1+'Table G'!$B$26)/(('Table G'!$B$18-'Table G'!$B$26)*(1+'Table G'!$B$18)^5),"")</f>
        <v>104017.46114119544</v>
      </c>
      <c r="E211" s="17">
        <f>IFERROR(('Table G'!$B$14+'Table G'!$B$15)/(1+'Table G'!$B$18)*IF(ABS(((1+$A211)/(1+'Table G'!$B$18))-1)&lt;0.000000001,10,(1-((1+$A211)/(1+'Table G'!$B$18))^10)/(1-((1+$A211)/(1+'Table G'!$B$18))))+('Table G'!$B$14+'Table G'!$B$15)*(1+$A211)^(10-1)*(1+'Table G'!$B$26)/(('Table G'!$B$18-'Table G'!$B$26)*(1+'Table G'!$B$18)^10),"")</f>
        <v>140973.83702151728</v>
      </c>
      <c r="F211" s="17">
        <f>IFERROR(('Table G'!$B$14+'Table G'!$B$15)/(1+'Table G'!$B$18)*IF(ABS(((1+$A211)/(1+'Table G'!$B$18))-1)&lt;0.000000001,5,(1-((1+$A211)/(1+'Table G'!$B$18))^5)/(1-((1+$A211)/(1+'Table G'!$B$18))))+('Table G'!$B$14+'Table G'!$B$15)*(1+$A211)^(5-1)*(1+'Table G'!$B$27)/(('Table G'!$B$18-'Table G'!$B$27)*(1+'Table G'!$B$18)^5),"")</f>
        <v>111452.90600267389</v>
      </c>
      <c r="G211" s="17">
        <f>IFERROR(('Table G'!$B$14+'Table G'!$B$15)/(1+'Table G'!$B$18)*IF(ABS(((1+$A211)/(1+'Table G'!$B$18))-1)&lt;0.000000001,10,(1-((1+$A211)/(1+'Table G'!$B$18))^10)/(1-((1+$A211)/(1+'Table G'!$B$18))))+('Table G'!$B$14+'Table G'!$B$15)*(1+$A211)^(10-1)*(1+'Table G'!$B$27)/(('Table G'!$B$18-'Table G'!$B$27)*(1+'Table G'!$B$18)^10),"")</f>
        <v>149369.06932597799</v>
      </c>
    </row>
    <row r="212" spans="1:7" x14ac:dyDescent="0.2">
      <c r="A212" s="8">
        <f>-0.1+208*$B$2</f>
        <v>0.10800000000000001</v>
      </c>
      <c r="B212" s="17">
        <f>IFERROR(('Table G'!$B$14+'Table G'!$B$15)/(1+'Table G'!$B$18)*IF(ABS(((1+$A212)/(1+'Table G'!$B$18))-1)&lt;0.000000001,5,(1-((1+$A212)/(1+'Table G'!$B$18))^5)/(1-((1+$A212)/(1+'Table G'!$B$18))))+('Table G'!$B$14+'Table G'!$B$15)*(1+$A212)^(5-1)*(1+'Table G'!$B$25)/(('Table G'!$B$18-'Table G'!$B$25)*(1+'Table G'!$B$18)^5),"")</f>
        <v>97996.364610931138</v>
      </c>
      <c r="C212" s="17">
        <f>IFERROR(('Table G'!$B$14+'Table G'!$B$15)/(1+'Table G'!$B$18)*IF(ABS(((1+$A212)/(1+'Table G'!$B$18))-1)&lt;0.000000001,10,(1-((1+$A212)/(1+'Table G'!$B$18))^10)/(1-((1+$A212)/(1+'Table G'!$B$18))))+('Table G'!$B$14+'Table G'!$B$15)*(1+$A212)^(10-1)*(1+'Table G'!$B$25)/(('Table G'!$B$18-'Table G'!$B$25)*(1+'Table G'!$B$18)^10),"")</f>
        <v>134719.7629861724</v>
      </c>
      <c r="D212" s="17">
        <f>IFERROR(('Table G'!$B$14+'Table G'!$B$15)/(1+'Table G'!$B$18)*IF(ABS(((1+$A212)/(1+'Table G'!$B$18))-1)&lt;0.000000001,5,(1-((1+$A212)/(1+'Table G'!$B$18))^5)/(1-((1+$A212)/(1+'Table G'!$B$18))))+('Table G'!$B$14+'Table G'!$B$15)*(1+$A212)^(5-1)*(1+'Table G'!$B$26)/(('Table G'!$B$18-'Table G'!$B$26)*(1+'Table G'!$B$18)^5),"")</f>
        <v>104352.27031835358</v>
      </c>
      <c r="E212" s="17">
        <f>IFERROR(('Table G'!$B$14+'Table G'!$B$15)/(1+'Table G'!$B$18)*IF(ABS(((1+$A212)/(1+'Table G'!$B$18))-1)&lt;0.000000001,10,(1-((1+$A212)/(1+'Table G'!$B$18))^10)/(1-((1+$A212)/(1+'Table G'!$B$18))))+('Table G'!$B$14+'Table G'!$B$15)*(1+$A212)^(10-1)*(1+'Table G'!$B$26)/(('Table G'!$B$18-'Table G'!$B$26)*(1+'Table G'!$B$18)^10),"")</f>
        <v>141928.57837539096</v>
      </c>
      <c r="F212" s="17">
        <f>IFERROR(('Table G'!$B$14+'Table G'!$B$15)/(1+'Table G'!$B$18)*IF(ABS(((1+$A212)/(1+'Table G'!$B$18))-1)&lt;0.000000001,5,(1-((1+$A212)/(1+'Table G'!$B$18))^5)/(1-((1+$A212)/(1+'Table G'!$B$18))))+('Table G'!$B$14+'Table G'!$B$15)*(1+$A212)^(5-1)*(1+'Table G'!$B$27)/(('Table G'!$B$18-'Table G'!$B$27)*(1+'Table G'!$B$18)^5),"")</f>
        <v>111814.61861635928</v>
      </c>
      <c r="G212" s="17">
        <f>IFERROR(('Table G'!$B$14+'Table G'!$B$15)/(1+'Table G'!$B$18)*IF(ABS(((1+$A212)/(1+'Table G'!$B$18))-1)&lt;0.000000001,10,(1-((1+$A212)/(1+'Table G'!$B$18))^10)/(1-((1+$A212)/(1+'Table G'!$B$18))))+('Table G'!$B$14+'Table G'!$B$15)*(1+$A212)^(10-1)*(1+'Table G'!$B$27)/(('Table G'!$B$18-'Table G'!$B$27)*(1+'Table G'!$B$18)^10),"")</f>
        <v>150392.31174820531</v>
      </c>
    </row>
    <row r="213" spans="1:7" x14ac:dyDescent="0.2">
      <c r="A213" s="8">
        <f>-0.1+209*$B$2</f>
        <v>0.10899999999999999</v>
      </c>
      <c r="B213" s="17">
        <f>IFERROR(('Table G'!$B$14+'Table G'!$B$15)/(1+'Table G'!$B$18)*IF(ABS(((1+$A213)/(1+'Table G'!$B$18))-1)&lt;0.000000001,5,(1-((1+$A213)/(1+'Table G'!$B$18))^5)/(1-((1+$A213)/(1+'Table G'!$B$18))))+('Table G'!$B$14+'Table G'!$B$15)*(1+$A213)^(5-1)*(1+'Table G'!$B$25)/(('Table G'!$B$18-'Table G'!$B$25)*(1+'Table G'!$B$18)^5),"")</f>
        <v>98309.066511206736</v>
      </c>
      <c r="C213" s="17">
        <f>IFERROR(('Table G'!$B$14+'Table G'!$B$15)/(1+'Table G'!$B$18)*IF(ABS(((1+$A213)/(1+'Table G'!$B$18))-1)&lt;0.000000001,10,(1-((1+$A213)/(1+'Table G'!$B$18))^10)/(1-((1+$A213)/(1+'Table G'!$B$18))))+('Table G'!$B$14+'Table G'!$B$15)*(1+$A213)^(10-1)*(1+'Table G'!$B$25)/(('Table G'!$B$18-'Table G'!$B$25)*(1+'Table G'!$B$18)^10),"")</f>
        <v>135622.16267651677</v>
      </c>
      <c r="D213" s="17">
        <f>IFERROR(('Table G'!$B$14+'Table G'!$B$15)/(1+'Table G'!$B$18)*IF(ABS(((1+$A213)/(1+'Table G'!$B$18))-1)&lt;0.000000001,5,(1-((1+$A213)/(1+'Table G'!$B$18))^5)/(1-((1+$A213)/(1+'Table G'!$B$18))))+('Table G'!$B$14+'Table G'!$B$15)*(1+$A213)^(5-1)*(1+'Table G'!$B$26)/(('Table G'!$B$18-'Table G'!$B$26)*(1+'Table G'!$B$18)^5),"")</f>
        <v>104687.94880870613</v>
      </c>
      <c r="E213" s="17">
        <f>IFERROR(('Table G'!$B$14+'Table G'!$B$15)/(1+'Table G'!$B$18)*IF(ABS(((1+$A213)/(1+'Table G'!$B$18))-1)&lt;0.000000001,10,(1-((1+$A213)/(1+'Table G'!$B$18))^10)/(1-((1+$A213)/(1+'Table G'!$B$18))))+('Table G'!$B$14+'Table G'!$B$15)*(1+$A213)^(10-1)*(1+'Table G'!$B$26)/(('Table G'!$B$18-'Table G'!$B$26)*(1+'Table G'!$B$18)^10),"")</f>
        <v>142889.74526235633</v>
      </c>
      <c r="F213" s="17">
        <f>IFERROR(('Table G'!$B$14+'Table G'!$B$15)/(1+'Table G'!$B$18)*IF(ABS(((1+$A213)/(1+'Table G'!$B$18))-1)&lt;0.000000001,5,(1-((1+$A213)/(1+'Table G'!$B$18))^5)/(1-((1+$A213)/(1+'Table G'!$B$18))))+('Table G'!$B$14+'Table G'!$B$15)*(1+$A213)^(5-1)*(1+'Table G'!$B$27)/(('Table G'!$B$18-'Table G'!$B$27)*(1+'Table G'!$B$18)^5),"")</f>
        <v>112177.27348517737</v>
      </c>
      <c r="G213" s="17">
        <f>IFERROR(('Table G'!$B$14+'Table G'!$B$15)/(1+'Table G'!$B$18)*IF(ABS(((1+$A213)/(1+'Table G'!$B$18))-1)&lt;0.000000001,10,(1-((1+$A213)/(1+'Table G'!$B$18))^10)/(1-((1+$A213)/(1+'Table G'!$B$18))))+('Table G'!$B$14+'Table G'!$B$15)*(1+$A213)^(10-1)*(1+'Table G'!$B$27)/(('Table G'!$B$18-'Table G'!$B$27)*(1+'Table G'!$B$18)^10),"")</f>
        <v>151422.4760857104</v>
      </c>
    </row>
    <row r="214" spans="1:7" x14ac:dyDescent="0.2">
      <c r="A214" s="8">
        <f>-0.1+210*$B$2</f>
        <v>0.10999999999999999</v>
      </c>
      <c r="B214" s="17">
        <f>IFERROR(('Table G'!$B$14+'Table G'!$B$15)/(1+'Table G'!$B$18)*IF(ABS(((1+$A214)/(1+'Table G'!$B$18))-1)&lt;0.000000001,5,(1-((1+$A214)/(1+'Table G'!$B$18))^5)/(1-((1+$A214)/(1+'Table G'!$B$18))))+('Table G'!$B$14+'Table G'!$B$15)*(1+$A214)^(5-1)*(1+'Table G'!$B$25)/(('Table G'!$B$18-'Table G'!$B$25)*(1+'Table G'!$B$18)^5),"")</f>
        <v>98622.577020320561</v>
      </c>
      <c r="C214" s="17">
        <f>IFERROR(('Table G'!$B$14+'Table G'!$B$15)/(1+'Table G'!$B$18)*IF(ABS(((1+$A214)/(1+'Table G'!$B$18))-1)&lt;0.000000001,10,(1-((1+$A214)/(1+'Table G'!$B$18))^10)/(1-((1+$A214)/(1+'Table G'!$B$18))))+('Table G'!$B$14+'Table G'!$B$15)*(1+$A214)^(10-1)*(1+'Table G'!$B$25)/(('Table G'!$B$18-'Table G'!$B$25)*(1+'Table G'!$B$18)^10),"")</f>
        <v>136530.60154153215</v>
      </c>
      <c r="D214" s="17">
        <f>IFERROR(('Table G'!$B$14+'Table G'!$B$15)/(1+'Table G'!$B$18)*IF(ABS(((1+$A214)/(1+'Table G'!$B$18))-1)&lt;0.000000001,5,(1-((1+$A214)/(1+'Table G'!$B$18))^5)/(1-((1+$A214)/(1+'Table G'!$B$18))))+('Table G'!$B$14+'Table G'!$B$15)*(1+$A214)^(5-1)*(1+'Table G'!$B$26)/(('Table G'!$B$18-'Table G'!$B$26)*(1+'Table G'!$B$18)^5),"")</f>
        <v>105024.49814692486</v>
      </c>
      <c r="E214" s="17">
        <f>IFERROR(('Table G'!$B$14+'Table G'!$B$15)/(1+'Table G'!$B$18)*IF(ABS(((1+$A214)/(1+'Table G'!$B$18))-1)&lt;0.000000001,10,(1-((1+$A214)/(1+'Table G'!$B$18))^10)/(1-((1+$A214)/(1+'Table G'!$B$18))))+('Table G'!$B$14+'Table G'!$B$15)*(1+$A214)^(10-1)*(1+'Table G'!$B$26)/(('Table G'!$B$18-'Table G'!$B$26)*(1+'Table G'!$B$18)^10),"")</f>
        <v>143857.37678583438</v>
      </c>
      <c r="F214" s="17">
        <f>IFERROR(('Table G'!$B$14+'Table G'!$B$15)/(1+'Table G'!$B$18)*IF(ABS(((1+$A214)/(1+'Table G'!$B$18))-1)&lt;0.000000001,5,(1-((1+$A214)/(1+'Table G'!$B$18))^5)/(1-((1+$A214)/(1+'Table G'!$B$18))))+('Table G'!$B$14+'Table G'!$B$15)*(1+$A214)^(5-1)*(1+'Table G'!$B$27)/(('Table G'!$B$18-'Table G'!$B$27)*(1+'Table G'!$B$18)^5),"")</f>
        <v>112540.87227552346</v>
      </c>
      <c r="G214" s="17">
        <f>IFERROR(('Table G'!$B$14+'Table G'!$B$15)/(1+'Table G'!$B$18)*IF(ABS(((1+$A214)/(1+'Table G'!$B$18))-1)&lt;0.000000001,10,(1-((1+$A214)/(1+'Table G'!$B$18))^10)/(1-((1+$A214)/(1+'Table G'!$B$18))))+('Table G'!$B$14+'Table G'!$B$15)*(1+$A214)^(10-1)*(1+'Table G'!$B$27)/(('Table G'!$B$18-'Table G'!$B$27)*(1+'Table G'!$B$18)^10),"")</f>
        <v>152459.60458640405</v>
      </c>
    </row>
    <row r="215" spans="1:7" x14ac:dyDescent="0.2">
      <c r="A215" s="8">
        <f>-0.1+211*$B$2</f>
        <v>0.11099999999999999</v>
      </c>
      <c r="B215" s="17">
        <f>IFERROR(('Table G'!$B$14+'Table G'!$B$15)/(1+'Table G'!$B$18)*IF(ABS(((1+$A215)/(1+'Table G'!$B$18))-1)&lt;0.000000001,5,(1-((1+$A215)/(1+'Table G'!$B$18))^5)/(1-((1+$A215)/(1+'Table G'!$B$18))))+('Table G'!$B$14+'Table G'!$B$15)*(1+$A215)^(5-1)*(1+'Table G'!$B$25)/(('Table G'!$B$18-'Table G'!$B$25)*(1+'Table G'!$B$18)^5),"")</f>
        <v>98936.897562015758</v>
      </c>
      <c r="C215" s="17">
        <f>IFERROR(('Table G'!$B$14+'Table G'!$B$15)/(1+'Table G'!$B$18)*IF(ABS(((1+$A215)/(1+'Table G'!$B$18))-1)&lt;0.000000001,10,(1-((1+$A215)/(1+'Table G'!$B$18))^10)/(1-((1+$A215)/(1+'Table G'!$B$18))))+('Table G'!$B$14+'Table G'!$B$15)*(1+$A215)^(10-1)*(1+'Table G'!$B$25)/(('Table G'!$B$18-'Table G'!$B$25)*(1+'Table G'!$B$18)^10),"")</f>
        <v>137445.11619868805</v>
      </c>
      <c r="D215" s="17">
        <f>IFERROR(('Table G'!$B$14+'Table G'!$B$15)/(1+'Table G'!$B$18)*IF(ABS(((1+$A215)/(1+'Table G'!$B$18))-1)&lt;0.000000001,5,(1-((1+$A215)/(1+'Table G'!$B$18))^5)/(1-((1+$A215)/(1+'Table G'!$B$18))))+('Table G'!$B$14+'Table G'!$B$15)*(1+$A215)^(5-1)*(1+'Table G'!$B$26)/(('Table G'!$B$18-'Table G'!$B$26)*(1+'Table G'!$B$18)^5),"")</f>
        <v>105361.91986904702</v>
      </c>
      <c r="E215" s="17">
        <f>IFERROR(('Table G'!$B$14+'Table G'!$B$15)/(1+'Table G'!$B$18)*IF(ABS(((1+$A215)/(1+'Table G'!$B$18))-1)&lt;0.000000001,10,(1-((1+$A215)/(1+'Table G'!$B$18))^10)/(1-((1+$A215)/(1+'Table G'!$B$18))))+('Table G'!$B$14+'Table G'!$B$15)*(1+$A215)^(10-1)*(1+'Table G'!$B$26)/(('Table G'!$B$18-'Table G'!$B$26)*(1+'Table G'!$B$18)^10),"")</f>
        <v>144831.51225608011</v>
      </c>
      <c r="F215" s="17">
        <f>IFERROR(('Table G'!$B$14+'Table G'!$B$15)/(1+'Table G'!$B$18)*IF(ABS(((1+$A215)/(1+'Table G'!$B$18))-1)&lt;0.000000001,5,(1-((1+$A215)/(1+'Table G'!$B$18))^5)/(1-((1+$A215)/(1+'Table G'!$B$18))))+('Table G'!$B$14+'Table G'!$B$15)*(1+$A215)^(5-1)*(1+'Table G'!$B$27)/(('Table G'!$B$18-'Table G'!$B$27)*(1+'Table G'!$B$18)^5),"")</f>
        <v>112905.41665527722</v>
      </c>
      <c r="G215" s="17">
        <f>IFERROR(('Table G'!$B$14+'Table G'!$B$15)/(1+'Table G'!$B$18)*IF(ABS(((1+$A215)/(1+'Table G'!$B$18))-1)&lt;0.000000001,10,(1-((1+$A215)/(1+'Table G'!$B$18))^10)/(1-((1+$A215)/(1+'Table G'!$B$18))))+('Table G'!$B$14+'Table G'!$B$15)*(1+$A215)^(10-1)*(1+'Table G'!$B$27)/(('Table G'!$B$18-'Table G'!$B$27)*(1+'Table G'!$B$18)^10),"")</f>
        <v>153503.73972208964</v>
      </c>
    </row>
    <row r="216" spans="1:7" x14ac:dyDescent="0.2">
      <c r="A216" s="8">
        <f>-0.1+212*$B$2</f>
        <v>0.11199999999999999</v>
      </c>
      <c r="B216" s="17">
        <f>IFERROR(('Table G'!$B$14+'Table G'!$B$15)/(1+'Table G'!$B$18)*IF(ABS(((1+$A216)/(1+'Table G'!$B$18))-1)&lt;0.000000001,5,(1-((1+$A216)/(1+'Table G'!$B$18))^5)/(1-((1+$A216)/(1+'Table G'!$B$18))))+('Table G'!$B$14+'Table G'!$B$15)*(1+$A216)^(5-1)*(1+'Table G'!$B$25)/(('Table G'!$B$18-'Table G'!$B$25)*(1+'Table G'!$B$18)^5),"")</f>
        <v>99252.02956129919</v>
      </c>
      <c r="C216" s="17">
        <f>IFERROR(('Table G'!$B$14+'Table G'!$B$15)/(1+'Table G'!$B$18)*IF(ABS(((1+$A216)/(1+'Table G'!$B$18))-1)&lt;0.000000001,10,(1-((1+$A216)/(1+'Table G'!$B$18))^10)/(1-((1+$A216)/(1+'Table G'!$B$18))))+('Table G'!$B$14+'Table G'!$B$15)*(1+$A216)^(10-1)*(1+'Table G'!$B$25)/(('Table G'!$B$18-'Table G'!$B$25)*(1+'Table G'!$B$18)^10),"")</f>
        <v>138365.74345860956</v>
      </c>
      <c r="D216" s="17">
        <f>IFERROR(('Table G'!$B$14+'Table G'!$B$15)/(1+'Table G'!$B$18)*IF(ABS(((1+$A216)/(1+'Table G'!$B$18))-1)&lt;0.000000001,5,(1-((1+$A216)/(1+'Table G'!$B$18))^5)/(1-((1+$A216)/(1+'Table G'!$B$18))))+('Table G'!$B$14+'Table G'!$B$15)*(1+$A216)^(5-1)*(1+'Table G'!$B$26)/(('Table G'!$B$18-'Table G'!$B$26)*(1+'Table G'!$B$18)^5),"")</f>
        <v>105700.21551247482</v>
      </c>
      <c r="E216" s="17">
        <f>IFERROR(('Table G'!$B$14+'Table G'!$B$15)/(1+'Table G'!$B$18)*IF(ABS(((1+$A216)/(1+'Table G'!$B$18))-1)&lt;0.000000001,10,(1-((1+$A216)/(1+'Table G'!$B$18))^10)/(1-((1+$A216)/(1+'Table G'!$B$18))))+('Table G'!$B$14+'Table G'!$B$15)*(1+$A216)^(10-1)*(1+'Table G'!$B$26)/(('Table G'!$B$18-'Table G'!$B$26)*(1+'Table G'!$B$18)^10),"")</f>
        <v>145812.19119109912</v>
      </c>
      <c r="F216" s="17">
        <f>IFERROR(('Table G'!$B$14+'Table G'!$B$15)/(1+'Table G'!$B$18)*IF(ABS(((1+$A216)/(1+'Table G'!$B$18))-1)&lt;0.000000001,5,(1-((1+$A216)/(1+'Table G'!$B$18))^5)/(1-((1+$A216)/(1+'Table G'!$B$18))))+('Table G'!$B$14+'Table G'!$B$15)*(1+$A216)^(5-1)*(1+'Table G'!$B$27)/(('Table G'!$B$18-'Table G'!$B$27)*(1+'Table G'!$B$18)^5),"")</f>
        <v>113270.90829380203</v>
      </c>
      <c r="G216" s="17">
        <f>IFERROR(('Table G'!$B$14+'Table G'!$B$15)/(1+'Table G'!$B$18)*IF(ABS(((1+$A216)/(1+'Table G'!$B$18))-1)&lt;0.000000001,10,(1-((1+$A216)/(1+'Table G'!$B$18))^10)/(1-((1+$A216)/(1+'Table G'!$B$18))))+('Table G'!$B$14+'Table G'!$B$15)*(1+$A216)^(10-1)*(1+'Table G'!$B$27)/(('Table G'!$B$18-'Table G'!$B$27)*(1+'Table G'!$B$18)^10),"")</f>
        <v>154554.92418945674</v>
      </c>
    </row>
    <row r="217" spans="1:7" x14ac:dyDescent="0.2">
      <c r="A217" s="8">
        <f>-0.1+213*$B$2</f>
        <v>0.11299999999999999</v>
      </c>
      <c r="B217" s="17">
        <f>IFERROR(('Table G'!$B$14+'Table G'!$B$15)/(1+'Table G'!$B$18)*IF(ABS(((1+$A217)/(1+'Table G'!$B$18))-1)&lt;0.000000001,5,(1-((1+$A217)/(1+'Table G'!$B$18))^5)/(1-((1+$A217)/(1+'Table G'!$B$18))))+('Table G'!$B$14+'Table G'!$B$15)*(1+$A217)^(5-1)*(1+'Table G'!$B$25)/(('Table G'!$B$18-'Table G'!$B$25)*(1+'Table G'!$B$18)^5),"")</f>
        <v>99567.974444441701</v>
      </c>
      <c r="C217" s="17">
        <f>IFERROR(('Table G'!$B$14+'Table G'!$B$15)/(1+'Table G'!$B$18)*IF(ABS(((1+$A217)/(1+'Table G'!$B$18))-1)&lt;0.000000001,10,(1-((1+$A217)/(1+'Table G'!$B$18))^10)/(1-((1+$A217)/(1+'Table G'!$B$18))))+('Table G'!$B$14+'Table G'!$B$15)*(1+$A217)^(10-1)*(1+'Table G'!$B$25)/(('Table G'!$B$18-'Table G'!$B$25)*(1+'Table G'!$B$18)^10),"")</f>
        <v>139292.52032593294</v>
      </c>
      <c r="D217" s="17">
        <f>IFERROR(('Table G'!$B$14+'Table G'!$B$15)/(1+'Table G'!$B$18)*IF(ABS(((1+$A217)/(1+'Table G'!$B$18))-1)&lt;0.000000001,5,(1-((1+$A217)/(1+'Table G'!$B$18))^5)/(1-((1+$A217)/(1+'Table G'!$B$18))))+('Table G'!$B$14+'Table G'!$B$15)*(1+$A217)^(5-1)*(1+'Table G'!$B$26)/(('Table G'!$B$18-'Table G'!$B$26)*(1+'Table G'!$B$18)^5),"")</f>
        <v>106039.38661597557</v>
      </c>
      <c r="E217" s="17">
        <f>IFERROR(('Table G'!$B$14+'Table G'!$B$15)/(1+'Table G'!$B$18)*IF(ABS(((1+$A217)/(1+'Table G'!$B$18))-1)&lt;0.000000001,10,(1-((1+$A217)/(1+'Table G'!$B$18))^10)/(1-((1+$A217)/(1+'Table G'!$B$18))))+('Table G'!$B$14+'Table G'!$B$15)*(1+$A217)^(10-1)*(1+'Table G'!$B$26)/(('Table G'!$B$18-'Table G'!$B$26)*(1+'Table G'!$B$18)^10),"")</f>
        <v>146799.45331756899</v>
      </c>
      <c r="F217" s="17">
        <f>IFERROR(('Table G'!$B$14+'Table G'!$B$15)/(1+'Table G'!$B$18)*IF(ABS(((1+$A217)/(1+'Table G'!$B$18))-1)&lt;0.000000001,5,(1-((1+$A217)/(1+'Table G'!$B$18))^5)/(1-((1+$A217)/(1+'Table G'!$B$18))))+('Table G'!$B$14+'Table G'!$B$15)*(1+$A217)^(5-1)*(1+'Table G'!$B$27)/(('Table G'!$B$18-'Table G'!$B$27)*(1+'Table G'!$B$18)^5),"")</f>
        <v>113637.34886194525</v>
      </c>
      <c r="G217" s="17">
        <f>IFERROR(('Table G'!$B$14+'Table G'!$B$15)/(1+'Table G'!$B$18)*IF(ABS(((1+$A217)/(1+'Table G'!$B$18))-1)&lt;0.000000001,10,(1-((1+$A217)/(1+'Table G'!$B$18))^10)/(1-((1+$A217)/(1+'Table G'!$B$18))))+('Table G'!$B$14+'Table G'!$B$15)*(1+$A217)^(10-1)*(1+'Table G'!$B$27)/(('Table G'!$B$18-'Table G'!$B$27)*(1+'Table G'!$B$18)^10),"")</f>
        <v>155613.20091108006</v>
      </c>
    </row>
    <row r="218" spans="1:7" x14ac:dyDescent="0.2">
      <c r="A218" s="8">
        <f>-0.1+214*$B$2</f>
        <v>0.11399999999999999</v>
      </c>
      <c r="B218" s="17">
        <f>IFERROR(('Table G'!$B$14+'Table G'!$B$15)/(1+'Table G'!$B$18)*IF(ABS(((1+$A218)/(1+'Table G'!$B$18))-1)&lt;0.000000001,5,(1-((1+$A218)/(1+'Table G'!$B$18))^5)/(1-((1+$A218)/(1+'Table G'!$B$18))))+('Table G'!$B$14+'Table G'!$B$15)*(1+$A218)^(5-1)*(1+'Table G'!$B$25)/(('Table G'!$B$18-'Table G'!$B$25)*(1+'Table G'!$B$18)^5),"")</f>
        <v>99884.733638978447</v>
      </c>
      <c r="C218" s="17">
        <f>IFERROR(('Table G'!$B$14+'Table G'!$B$15)/(1+'Table G'!$B$18)*IF(ABS(((1+$A218)/(1+'Table G'!$B$18))-1)&lt;0.000000001,10,(1-((1+$A218)/(1+'Table G'!$B$18))^10)/(1-((1+$A218)/(1+'Table G'!$B$18))))+('Table G'!$B$14+'Table G'!$B$15)*(1+$A218)^(10-1)*(1+'Table G'!$B$25)/(('Table G'!$B$18-'Table G'!$B$25)*(1+'Table G'!$B$18)^10),"")</f>
        <v>140225.48400016606</v>
      </c>
      <c r="D218" s="17">
        <f>IFERROR(('Table G'!$B$14+'Table G'!$B$15)/(1+'Table G'!$B$18)*IF(ABS(((1+$A218)/(1+'Table G'!$B$18))-1)&lt;0.000000001,5,(1-((1+$A218)/(1+'Table G'!$B$18))^5)/(1-((1+$A218)/(1+'Table G'!$B$18))))+('Table G'!$B$14+'Table G'!$B$15)*(1+$A218)^(5-1)*(1+'Table G'!$B$26)/(('Table G'!$B$18-'Table G'!$B$26)*(1+'Table G'!$B$18)^5),"")</f>
        <v>106379.43471968221</v>
      </c>
      <c r="E218" s="17">
        <f>IFERROR(('Table G'!$B$14+'Table G'!$B$15)/(1+'Table G'!$B$18)*IF(ABS(((1+$A218)/(1+'Table G'!$B$18))-1)&lt;0.000000001,10,(1-((1+$A218)/(1+'Table G'!$B$18))^10)/(1-((1+$A218)/(1+'Table G'!$B$18))))+('Table G'!$B$14+'Table G'!$B$15)*(1+$A218)^(10-1)*(1+'Table G'!$B$26)/(('Table G'!$B$18-'Table G'!$B$26)*(1+'Table G'!$B$18)^10),"")</f>
        <v>147793.33857176587</v>
      </c>
      <c r="F218" s="17">
        <f>IFERROR(('Table G'!$B$14+'Table G'!$B$15)/(1+'Table G'!$B$18)*IF(ABS(((1+$A218)/(1+'Table G'!$B$18))-1)&lt;0.000000001,5,(1-((1+$A218)/(1+'Table G'!$B$18))^5)/(1-((1+$A218)/(1+'Table G'!$B$18))))+('Table G'!$B$14+'Table G'!$B$15)*(1+$A218)^(5-1)*(1+'Table G'!$B$27)/(('Table G'!$B$18-'Table G'!$B$27)*(1+'Table G'!$B$18)^5),"")</f>
        <v>114004.74003203868</v>
      </c>
      <c r="G218" s="17">
        <f>IFERROR(('Table G'!$B$14+'Table G'!$B$15)/(1+'Table G'!$B$18)*IF(ABS(((1+$A218)/(1+'Table G'!$B$18))-1)&lt;0.000000001,10,(1-((1+$A218)/(1+'Table G'!$B$18))^10)/(1-((1+$A218)/(1+'Table G'!$B$18))))+('Table G'!$B$14+'Table G'!$B$15)*(1+$A218)^(10-1)*(1+'Table G'!$B$27)/(('Table G'!$B$18-'Table G'!$B$27)*(1+'Table G'!$B$18)^10),"")</f>
        <v>156678.61303642349</v>
      </c>
    </row>
    <row r="219" spans="1:7" x14ac:dyDescent="0.2">
      <c r="A219" s="8">
        <f>-0.1+215*$B$2</f>
        <v>0.11499999999999999</v>
      </c>
      <c r="B219" s="17">
        <f>IFERROR(('Table G'!$B$14+'Table G'!$B$15)/(1+'Table G'!$B$18)*IF(ABS(((1+$A219)/(1+'Table G'!$B$18))-1)&lt;0.000000001,5,(1-((1+$A219)/(1+'Table G'!$B$18))^5)/(1-((1+$A219)/(1+'Table G'!$B$18))))+('Table G'!$B$14+'Table G'!$B$15)*(1+$A219)^(5-1)*(1+'Table G'!$B$25)/(('Table G'!$B$18-'Table G'!$B$25)*(1+'Table G'!$B$18)^5),"")</f>
        <v>100202.30857370852</v>
      </c>
      <c r="C219" s="17">
        <f>IFERROR(('Table G'!$B$14+'Table G'!$B$15)/(1+'Table G'!$B$18)*IF(ABS(((1+$A219)/(1+'Table G'!$B$18))-1)&lt;0.000000001,10,(1-((1+$A219)/(1+'Table G'!$B$18))^10)/(1-((1+$A219)/(1+'Table G'!$B$18))))+('Table G'!$B$14+'Table G'!$B$15)*(1+$A219)^(10-1)*(1+'Table G'!$B$25)/(('Table G'!$B$18-'Table G'!$B$25)*(1+'Table G'!$B$18)^10),"")</f>
        <v>141164.67187654795</v>
      </c>
      <c r="D219" s="17">
        <f>IFERROR(('Table G'!$B$14+'Table G'!$B$15)/(1+'Table G'!$B$18)*IF(ABS(((1+$A219)/(1+'Table G'!$B$18))-1)&lt;0.000000001,5,(1-((1+$A219)/(1+'Table G'!$B$18))^5)/(1-((1+$A219)/(1+'Table G'!$B$18))))+('Table G'!$B$14+'Table G'!$B$15)*(1+$A219)^(5-1)*(1+'Table G'!$B$26)/(('Table G'!$B$18-'Table G'!$B$26)*(1+'Table G'!$B$18)^5),"")</f>
        <v>106720.36136509274</v>
      </c>
      <c r="E219" s="17">
        <f>IFERROR(('Table G'!$B$14+'Table G'!$B$15)/(1+'Table G'!$B$18)*IF(ABS(((1+$A219)/(1+'Table G'!$B$18))-1)&lt;0.000000001,10,(1-((1+$A219)/(1+'Table G'!$B$18))^10)/(1-((1+$A219)/(1+'Table G'!$B$18))))+('Table G'!$B$14+'Table G'!$B$15)*(1+$A219)^(10-1)*(1+'Table G'!$B$26)/(('Table G'!$B$18-'Table G'!$B$26)*(1+'Table G'!$B$18)^10),"")</f>
        <v>148793.88710049042</v>
      </c>
      <c r="F219" s="17">
        <f>IFERROR(('Table G'!$B$14+'Table G'!$B$15)/(1+'Table G'!$B$18)*IF(ABS(((1+$A219)/(1+'Table G'!$B$18))-1)&lt;0.000000001,5,(1-((1+$A219)/(1+'Table G'!$B$18))^5)/(1-((1+$A219)/(1+'Table G'!$B$18))))+('Table G'!$B$14+'Table G'!$B$15)*(1+$A219)^(5-1)*(1+'Table G'!$B$27)/(('Table G'!$B$18-'Table G'!$B$27)*(1+'Table G'!$B$18)^5),"")</f>
        <v>114373.08347789805</v>
      </c>
      <c r="G219" s="17">
        <f>IFERROR(('Table G'!$B$14+'Table G'!$B$15)/(1+'Table G'!$B$18)*IF(ABS(((1+$A219)/(1+'Table G'!$B$18))-1)&lt;0.000000001,10,(1-((1+$A219)/(1+'Table G'!$B$18))^10)/(1-((1+$A219)/(1+'Table G'!$B$18))))+('Table G'!$B$14+'Table G'!$B$15)*(1+$A219)^(10-1)*(1+'Table G'!$B$27)/(('Table G'!$B$18-'Table G'!$B$27)*(1+'Table G'!$B$18)^10),"")</f>
        <v>157751.20394284397</v>
      </c>
    </row>
    <row r="220" spans="1:7" x14ac:dyDescent="0.2">
      <c r="A220" s="8">
        <f>-0.1+216*$B$2</f>
        <v>0.11599999999999999</v>
      </c>
      <c r="B220" s="17">
        <f>IFERROR(('Table G'!$B$14+'Table G'!$B$15)/(1+'Table G'!$B$18)*IF(ABS(((1+$A220)/(1+'Table G'!$B$18))-1)&lt;0.000000001,5,(1-((1+$A220)/(1+'Table G'!$B$18))^5)/(1-((1+$A220)/(1+'Table G'!$B$18))))+('Table G'!$B$14+'Table G'!$B$15)*(1+$A220)^(5-1)*(1+'Table G'!$B$25)/(('Table G'!$B$18-'Table G'!$B$25)*(1+'Table G'!$B$18)^5),"")</f>
        <v>100520.70067869488</v>
      </c>
      <c r="C220" s="17">
        <f>IFERROR(('Table G'!$B$14+'Table G'!$B$15)/(1+'Table G'!$B$18)*IF(ABS(((1+$A220)/(1+'Table G'!$B$18))-1)&lt;0.000000001,10,(1-((1+$A220)/(1+'Table G'!$B$18))^10)/(1-((1+$A220)/(1+'Table G'!$B$18))))+('Table G'!$B$14+'Table G'!$B$15)*(1+$A220)^(10-1)*(1+'Table G'!$B$25)/(('Table G'!$B$18-'Table G'!$B$25)*(1+'Table G'!$B$18)^10),"")</f>
        <v>142110.12154691381</v>
      </c>
      <c r="D220" s="17">
        <f>IFERROR(('Table G'!$B$14+'Table G'!$B$15)/(1+'Table G'!$B$18)*IF(ABS(((1+$A220)/(1+'Table G'!$B$18))-1)&lt;0.000000001,5,(1-((1+$A220)/(1+'Table G'!$B$18))^5)/(1-((1+$A220)/(1+'Table G'!$B$18))))+('Table G'!$B$14+'Table G'!$B$15)*(1+$A220)^(5-1)*(1+'Table G'!$B$26)/(('Table G'!$B$18-'Table G'!$B$26)*(1+'Table G'!$B$18)^5),"")</f>
        <v>107062.16809507032</v>
      </c>
      <c r="E220" s="17">
        <f>IFERROR(('Table G'!$B$14+'Table G'!$B$15)/(1+'Table G'!$B$18)*IF(ABS(((1+$A220)/(1+'Table G'!$B$18))-1)&lt;0.000000001,10,(1-((1+$A220)/(1+'Table G'!$B$18))^10)/(1-((1+$A220)/(1+'Table G'!$B$18))))+('Table G'!$B$14+'Table G'!$B$15)*(1+$A220)^(10-1)*(1+'Table G'!$B$26)/(('Table G'!$B$18-'Table G'!$B$26)*(1+'Table G'!$B$18)^10),"")</f>
        <v>149801.13926199928</v>
      </c>
      <c r="F220" s="17">
        <f>IFERROR(('Table G'!$B$14+'Table G'!$B$15)/(1+'Table G'!$B$18)*IF(ABS(((1+$A220)/(1+'Table G'!$B$18))-1)&lt;0.000000001,5,(1-((1+$A220)/(1+'Table G'!$B$18))^5)/(1-((1+$A220)/(1+'Table G'!$B$18))))+('Table G'!$B$14+'Table G'!$B$15)*(1+$A220)^(5-1)*(1+'Table G'!$B$27)/(('Table G'!$B$18-'Table G'!$B$27)*(1+'Table G'!$B$18)^5),"")</f>
        <v>114742.38087482302</v>
      </c>
      <c r="G220" s="17">
        <f>IFERROR(('Table G'!$B$14+'Table G'!$B$15)/(1+'Table G'!$B$18)*IF(ABS(((1+$A220)/(1+'Table G'!$B$18))-1)&lt;0.000000001,10,(1-((1+$A220)/(1+'Table G'!$B$18))^10)/(1-((1+$A220)/(1+'Table G'!$B$18))))+('Table G'!$B$14+'Table G'!$B$15)*(1+$A220)^(10-1)*(1+'Table G'!$B$27)/(('Table G'!$B$18-'Table G'!$B$27)*(1+'Table G'!$B$18)^10),"")</f>
        <v>158831.0172366011</v>
      </c>
    </row>
    <row r="221" spans="1:7" x14ac:dyDescent="0.2">
      <c r="A221" s="8">
        <f>-0.1+217*$B$2</f>
        <v>0.11699999999999999</v>
      </c>
      <c r="B221" s="17">
        <f>IFERROR(('Table G'!$B$14+'Table G'!$B$15)/(1+'Table G'!$B$18)*IF(ABS(((1+$A221)/(1+'Table G'!$B$18))-1)&lt;0.000000001,5,(1-((1+$A221)/(1+'Table G'!$B$18))^5)/(1-((1+$A221)/(1+'Table G'!$B$18))))+('Table G'!$B$14+'Table G'!$B$15)*(1+$A221)^(5-1)*(1+'Table G'!$B$25)/(('Table G'!$B$18-'Table G'!$B$25)*(1+'Table G'!$B$18)^5),"")</f>
        <v>100839.91138526455</v>
      </c>
      <c r="C221" s="17">
        <f>IFERROR(('Table G'!$B$14+'Table G'!$B$15)/(1+'Table G'!$B$18)*IF(ABS(((1+$A221)/(1+'Table G'!$B$18))-1)&lt;0.000000001,10,(1-((1+$A221)/(1+'Table G'!$B$18))^10)/(1-((1+$A221)/(1+'Table G'!$B$18))))+('Table G'!$B$14+'Table G'!$B$15)*(1+$A221)^(10-1)*(1+'Table G'!$B$25)/(('Table G'!$B$18-'Table G'!$B$25)*(1+'Table G'!$B$18)^10),"")</f>
        <v>143061.87080056316</v>
      </c>
      <c r="D221" s="17">
        <f>IFERROR(('Table G'!$B$14+'Table G'!$B$15)/(1+'Table G'!$B$18)*IF(ABS(((1+$A221)/(1+'Table G'!$B$18))-1)&lt;0.000000001,5,(1-((1+$A221)/(1+'Table G'!$B$18))^5)/(1-((1+$A221)/(1+'Table G'!$B$18))))+('Table G'!$B$14+'Table G'!$B$15)*(1+$A221)^(5-1)*(1+'Table G'!$B$26)/(('Table G'!$B$18-'Table G'!$B$26)*(1+'Table G'!$B$18)^5),"")</f>
        <v>107404.85645384334</v>
      </c>
      <c r="E221" s="17">
        <f>IFERROR(('Table G'!$B$14+'Table G'!$B$15)/(1+'Table G'!$B$18)*IF(ABS(((1+$A221)/(1+'Table G'!$B$18))-1)&lt;0.000000001,10,(1-((1+$A221)/(1+'Table G'!$B$18))^10)/(1-((1+$A221)/(1+'Table G'!$B$18))))+('Table G'!$B$14+'Table G'!$B$15)*(1+$A221)^(10-1)*(1+'Table G'!$B$26)/(('Table G'!$B$18-'Table G'!$B$26)*(1+'Table G'!$B$18)^10),"")</f>
        <v>150815.13562694011</v>
      </c>
      <c r="F221" s="17">
        <f>IFERROR(('Table G'!$B$14+'Table G'!$B$15)/(1+'Table G'!$B$18)*IF(ABS(((1+$A221)/(1+'Table G'!$B$18))-1)&lt;0.000000001,5,(1-((1+$A221)/(1+'Table G'!$B$18))^5)/(1-((1+$A221)/(1+'Table G'!$B$18))))+('Table G'!$B$14+'Table G'!$B$15)*(1+$A221)^(5-1)*(1+'Table G'!$B$27)/(('Table G'!$B$18-'Table G'!$B$27)*(1+'Table G'!$B$18)^5),"")</f>
        <v>115112.63389959732</v>
      </c>
      <c r="G221" s="17">
        <f>IFERROR(('Table G'!$B$14+'Table G'!$B$15)/(1+'Table G'!$B$18)*IF(ABS(((1+$A221)/(1+'Table G'!$B$18))-1)&lt;0.000000001,10,(1-((1+$A221)/(1+'Table G'!$B$18))^10)/(1-((1+$A221)/(1+'Table G'!$B$18))))+('Table G'!$B$14+'Table G'!$B$15)*(1+$A221)^(10-1)*(1+'Table G'!$B$27)/(('Table G'!$B$18-'Table G'!$B$27)*(1+'Table G'!$B$18)^10),"")</f>
        <v>159918.09675387052</v>
      </c>
    </row>
    <row r="222" spans="1:7" x14ac:dyDescent="0.2">
      <c r="A222" s="8">
        <f>-0.1+218*$B$2</f>
        <v>0.11799999999999999</v>
      </c>
      <c r="B222" s="17">
        <f>IFERROR(('Table G'!$B$14+'Table G'!$B$15)/(1+'Table G'!$B$18)*IF(ABS(((1+$A222)/(1+'Table G'!$B$18))-1)&lt;0.000000001,5,(1-((1+$A222)/(1+'Table G'!$B$18))^5)/(1-((1+$A222)/(1+'Table G'!$B$18))))+('Table G'!$B$14+'Table G'!$B$15)*(1+$A222)^(5-1)*(1+'Table G'!$B$25)/(('Table G'!$B$18-'Table G'!$B$25)*(1+'Table G'!$B$18)^5),"")</f>
        <v>101159.94212600868</v>
      </c>
      <c r="C222" s="17">
        <f>IFERROR(('Table G'!$B$14+'Table G'!$B$15)/(1+'Table G'!$B$18)*IF(ABS(((1+$A222)/(1+'Table G'!$B$18))-1)&lt;0.000000001,10,(1-((1+$A222)/(1+'Table G'!$B$18))^10)/(1-((1+$A222)/(1+'Table G'!$B$18))))+('Table G'!$B$14+'Table G'!$B$15)*(1+$A222)^(10-1)*(1+'Table G'!$B$25)/(('Table G'!$B$18-'Table G'!$B$25)*(1+'Table G'!$B$18)^10),"")</f>
        <v>144019.95762513045</v>
      </c>
      <c r="D222" s="17">
        <f>IFERROR(('Table G'!$B$14+'Table G'!$B$15)/(1+'Table G'!$B$18)*IF(ABS(((1+$A222)/(1+'Table G'!$B$18))-1)&lt;0.000000001,5,(1-((1+$A222)/(1+'Table G'!$B$18))^5)/(1-((1+$A222)/(1+'Table G'!$B$18))))+('Table G'!$B$14+'Table G'!$B$15)*(1+$A222)^(5-1)*(1+'Table G'!$B$26)/(('Table G'!$B$18-'Table G'!$B$26)*(1+'Table G'!$B$18)^5),"")</f>
        <v>107748.4279870055</v>
      </c>
      <c r="E222" s="17">
        <f>IFERROR(('Table G'!$B$14+'Table G'!$B$15)/(1+'Table G'!$B$18)*IF(ABS(((1+$A222)/(1+'Table G'!$B$18))-1)&lt;0.000000001,10,(1-((1+$A222)/(1+'Table G'!$B$18))^10)/(1-((1+$A222)/(1+'Table G'!$B$18))))+('Table G'!$B$14+'Table G'!$B$15)*(1+$A222)^(10-1)*(1+'Table G'!$B$26)/(('Table G'!$B$18-'Table G'!$B$26)*(1+'Table G'!$B$18)^10),"")</f>
        <v>151835.91697928926</v>
      </c>
      <c r="F222" s="17">
        <f>IFERROR(('Table G'!$B$14+'Table G'!$B$15)/(1+'Table G'!$B$18)*IF(ABS(((1+$A222)/(1+'Table G'!$B$18))-1)&lt;0.000000001,5,(1-((1+$A222)/(1+'Table G'!$B$18))^5)/(1-((1+$A222)/(1+'Table G'!$B$18))))+('Table G'!$B$14+'Table G'!$B$15)*(1+$A222)^(5-1)*(1+'Table G'!$B$27)/(('Table G'!$B$18-'Table G'!$B$27)*(1+'Table G'!$B$18)^5),"")</f>
        <v>115483.84423048887</v>
      </c>
      <c r="G222" s="17">
        <f>IFERROR(('Table G'!$B$14+'Table G'!$B$15)/(1+'Table G'!$B$18)*IF(ABS(((1+$A222)/(1+'Table G'!$B$18))-1)&lt;0.000000001,10,(1-((1+$A222)/(1+'Table G'!$B$18))^10)/(1-((1+$A222)/(1+'Table G'!$B$18))))+('Table G'!$B$14+'Table G'!$B$15)*(1+$A222)^(10-1)*(1+'Table G'!$B$27)/(('Table G'!$B$18-'Table G'!$B$27)*(1+'Table G'!$B$18)^10),"")</f>
        <v>161012.48656176057</v>
      </c>
    </row>
    <row r="223" spans="1:7" x14ac:dyDescent="0.2">
      <c r="A223" s="8">
        <f>-0.1+219*$B$2</f>
        <v>0.11899999999999999</v>
      </c>
      <c r="B223" s="17">
        <f>IFERROR(('Table G'!$B$14+'Table G'!$B$15)/(1+'Table G'!$B$18)*IF(ABS(((1+$A223)/(1+'Table G'!$B$18))-1)&lt;0.000000001,5,(1-((1+$A223)/(1+'Table G'!$B$18))^5)/(1-((1+$A223)/(1+'Table G'!$B$18))))+('Table G'!$B$14+'Table G'!$B$15)*(1+$A223)^(5-1)*(1+'Table G'!$B$25)/(('Table G'!$B$18-'Table G'!$B$25)*(1+'Table G'!$B$18)^5),"")</f>
        <v>101480.79433478243</v>
      </c>
      <c r="C223" s="17">
        <f>IFERROR(('Table G'!$B$14+'Table G'!$B$15)/(1+'Table G'!$B$18)*IF(ABS(((1+$A223)/(1+'Table G'!$B$18))-1)&lt;0.000000001,10,(1-((1+$A223)/(1+'Table G'!$B$18))^10)/(1-((1+$A223)/(1+'Table G'!$B$18))))+('Table G'!$B$14+'Table G'!$B$15)*(1+$A223)^(10-1)*(1+'Table G'!$B$25)/(('Table G'!$B$18-'Table G'!$B$25)*(1+'Table G'!$B$18)^10),"")</f>
        <v>144984.42020745901</v>
      </c>
      <c r="D223" s="17">
        <f>IFERROR(('Table G'!$B$14+'Table G'!$B$15)/(1+'Table G'!$B$18)*IF(ABS(((1+$A223)/(1+'Table G'!$B$18))-1)&lt;0.000000001,5,(1-((1+$A223)/(1+'Table G'!$B$18))^5)/(1-((1+$A223)/(1+'Table G'!$B$18))))+('Table G'!$B$14+'Table G'!$B$15)*(1+$A223)^(5-1)*(1+'Table G'!$B$26)/(('Table G'!$B$18-'Table G'!$B$26)*(1+'Table G'!$B$18)^5),"")</f>
        <v>108092.88424151583</v>
      </c>
      <c r="E223" s="17">
        <f>IFERROR(('Table G'!$B$14+'Table G'!$B$15)/(1+'Table G'!$B$18)*IF(ABS(((1+$A223)/(1+'Table G'!$B$18))-1)&lt;0.000000001,10,(1-((1+$A223)/(1+'Table G'!$B$18))^10)/(1-((1+$A223)/(1+'Table G'!$B$18))))+('Table G'!$B$14+'Table G'!$B$15)*(1+$A223)^(10-1)*(1+'Table G'!$B$26)/(('Table G'!$B$18-'Table G'!$B$26)*(1+'Table G'!$B$18)^10),"")</f>
        <v>152863.52431729296</v>
      </c>
      <c r="F223" s="17">
        <f>IFERROR(('Table G'!$B$14+'Table G'!$B$15)/(1+'Table G'!$B$18)*IF(ABS(((1+$A223)/(1+'Table G'!$B$18))-1)&lt;0.000000001,5,(1-((1+$A223)/(1+'Table G'!$B$18))^5)/(1-((1+$A223)/(1+'Table G'!$B$18))))+('Table G'!$B$14+'Table G'!$B$15)*(1+$A223)^(5-1)*(1+'Table G'!$B$27)/(('Table G'!$B$18-'Table G'!$B$27)*(1+'Table G'!$B$18)^5),"")</f>
        <v>115856.01354724972</v>
      </c>
      <c r="G223" s="17">
        <f>IFERROR(('Table G'!$B$14+'Table G'!$B$15)/(1+'Table G'!$B$18)*IF(ABS(((1+$A223)/(1+'Table G'!$B$18))-1)&lt;0.000000001,10,(1-((1+$A223)/(1+'Table G'!$B$18))^10)/(1-((1+$A223)/(1+'Table G'!$B$18))))+('Table G'!$B$14+'Table G'!$B$15)*(1+$A223)^(10-1)*(1+'Table G'!$B$27)/(('Table G'!$B$18-'Table G'!$B$27)*(1+'Table G'!$B$18)^10),"")</f>
        <v>162114.23095933237</v>
      </c>
    </row>
    <row r="224" spans="1:7" x14ac:dyDescent="0.2">
      <c r="A224" s="8">
        <f>-0.1+220*$B$2</f>
        <v>0.12</v>
      </c>
      <c r="B224" s="17">
        <f>IFERROR(('Table G'!$B$14+'Table G'!$B$15)/(1+'Table G'!$B$18)*IF(ABS(((1+$A224)/(1+'Table G'!$B$18))-1)&lt;0.000000001,5,(1-((1+$A224)/(1+'Table G'!$B$18))^5)/(1-((1+$A224)/(1+'Table G'!$B$18))))+('Table G'!$B$14+'Table G'!$B$15)*(1+$A224)^(5-1)*(1+'Table G'!$B$25)/(('Table G'!$B$18-'Table G'!$B$25)*(1+'Table G'!$B$18)^5),"")</f>
        <v>101802.4694467048</v>
      </c>
      <c r="C224" s="17">
        <f>IFERROR(('Table G'!$B$14+'Table G'!$B$15)/(1+'Table G'!$B$18)*IF(ABS(((1+$A224)/(1+'Table G'!$B$18))-1)&lt;0.000000001,10,(1-((1+$A224)/(1+'Table G'!$B$18))^10)/(1-((1+$A224)/(1+'Table G'!$B$18))))+('Table G'!$B$14+'Table G'!$B$15)*(1+$A224)^(10-1)*(1+'Table G'!$B$25)/(('Table G'!$B$18-'Table G'!$B$25)*(1+'Table G'!$B$18)^10),"")</f>
        <v>145955.29693447717</v>
      </c>
      <c r="D224" s="17">
        <f>IFERROR(('Table G'!$B$14+'Table G'!$B$15)/(1+'Table G'!$B$18)*IF(ABS(((1+$A224)/(1+'Table G'!$B$18))-1)&lt;0.000000001,5,(1-((1+$A224)/(1+'Table G'!$B$18))^5)/(1-((1+$A224)/(1+'Table G'!$B$18))))+('Table G'!$B$14+'Table G'!$B$15)*(1+$A224)^(5-1)*(1+'Table G'!$B$26)/(('Table G'!$B$18-'Table G'!$B$26)*(1+'Table G'!$B$18)^5),"")</f>
        <v>108438.22676569826</v>
      </c>
      <c r="E224" s="17">
        <f>IFERROR(('Table G'!$B$14+'Table G'!$B$15)/(1+'Table G'!$B$18)*IF(ABS(((1+$A224)/(1+'Table G'!$B$18))-1)&lt;0.000000001,10,(1-((1+$A224)/(1+'Table G'!$B$18))^10)/(1-((1+$A224)/(1+'Table G'!$B$18))))+('Table G'!$B$14+'Table G'!$B$15)*(1+$A224)^(10-1)*(1+'Table G'!$B$26)/(('Table G'!$B$18-'Table G'!$B$26)*(1+'Table G'!$B$18)^10),"")</f>
        <v>153897.99885441107</v>
      </c>
      <c r="F224" s="17">
        <f>IFERROR(('Table G'!$B$14+'Table G'!$B$15)/(1+'Table G'!$B$18)*IF(ABS(((1+$A224)/(1+'Table G'!$B$18))-1)&lt;0.000000001,5,(1-((1+$A224)/(1+'Table G'!$B$18))^5)/(1-((1+$A224)/(1+'Table G'!$B$18))))+('Table G'!$B$14+'Table G'!$B$15)*(1+$A224)^(5-1)*(1+'Table G'!$B$27)/(('Table G'!$B$18-'Table G'!$B$27)*(1+'Table G'!$B$18)^5),"")</f>
        <v>116229.14353111564</v>
      </c>
      <c r="G224" s="17">
        <f>IFERROR(('Table G'!$B$14+'Table G'!$B$15)/(1+'Table G'!$B$18)*IF(ABS(((1+$A224)/(1+'Table G'!$B$18))-1)&lt;0.000000001,10,(1-((1+$A224)/(1+'Table G'!$B$18))^10)/(1-((1+$A224)/(1+'Table G'!$B$18))))+('Table G'!$B$14+'Table G'!$B$15)*(1+$A224)^(10-1)*(1+'Table G'!$B$27)/(('Table G'!$B$18-'Table G'!$B$27)*(1+'Table G'!$B$18)^10),"")</f>
        <v>163223.37447862275</v>
      </c>
    </row>
    <row r="225" spans="1:7" x14ac:dyDescent="0.2">
      <c r="A225" s="8">
        <f>-0.1+221*$B$2</f>
        <v>0.121</v>
      </c>
      <c r="B225" s="17">
        <f>IFERROR(('Table G'!$B$14+'Table G'!$B$15)/(1+'Table G'!$B$18)*IF(ABS(((1+$A225)/(1+'Table G'!$B$18))-1)&lt;0.000000001,5,(1-((1+$A225)/(1+'Table G'!$B$18))^5)/(1-((1+$A225)/(1+'Table G'!$B$18))))+('Table G'!$B$14+'Table G'!$B$15)*(1+$A225)^(5-1)*(1+'Table G'!$B$25)/(('Table G'!$B$18-'Table G'!$B$25)*(1+'Table G'!$B$18)^5),"")</f>
        <v>102124.9688981591</v>
      </c>
      <c r="C225" s="17">
        <f>IFERROR(('Table G'!$B$14+'Table G'!$B$15)/(1+'Table G'!$B$18)*IF(ABS(((1+$A225)/(1+'Table G'!$B$18))-1)&lt;0.000000001,10,(1-((1+$A225)/(1+'Table G'!$B$18))^10)/(1-((1+$A225)/(1+'Table G'!$B$18))))+('Table G'!$B$14+'Table G'!$B$15)*(1+$A225)^(10-1)*(1+'Table G'!$B$25)/(('Table G'!$B$18-'Table G'!$B$25)*(1+'Table G'!$B$18)^10),"")</f>
        <v>146932.62639407968</v>
      </c>
      <c r="D225" s="17">
        <f>IFERROR(('Table G'!$B$14+'Table G'!$B$15)/(1+'Table G'!$B$18)*IF(ABS(((1+$A225)/(1+'Table G'!$B$18))-1)&lt;0.000000001,5,(1-((1+$A225)/(1+'Table G'!$B$18))^5)/(1-((1+$A225)/(1+'Table G'!$B$18))))+('Table G'!$B$14+'Table G'!$B$15)*(1+$A225)^(5-1)*(1+'Table G'!$B$26)/(('Table G'!$B$18-'Table G'!$B$26)*(1+'Table G'!$B$18)^5),"")</f>
        <v>108784.45710924233</v>
      </c>
      <c r="E225" s="17">
        <f>IFERROR(('Table G'!$B$14+'Table G'!$B$15)/(1+'Table G'!$B$18)*IF(ABS(((1+$A225)/(1+'Table G'!$B$18))-1)&lt;0.000000001,10,(1-((1+$A225)/(1+'Table G'!$B$18))^10)/(1-((1+$A225)/(1+'Table G'!$B$18))))+('Table G'!$B$14+'Table G'!$B$15)*(1+$A225)^(10-1)*(1+'Table G'!$B$26)/(('Table G'!$B$18-'Table G'!$B$26)*(1+'Table G'!$B$18)^10),"")</f>
        <v>154939.38202026612</v>
      </c>
      <c r="F225" s="17">
        <f>IFERROR(('Table G'!$B$14+'Table G'!$B$15)/(1+'Table G'!$B$18)*IF(ABS(((1+$A225)/(1+'Table G'!$B$18))-1)&lt;0.000000001,5,(1-((1+$A225)/(1+'Table G'!$B$18))^5)/(1-((1+$A225)/(1+'Table G'!$B$18))))+('Table G'!$B$14+'Table G'!$B$15)*(1+$A225)^(5-1)*(1+'Table G'!$B$27)/(('Table G'!$B$18-'Table G'!$B$27)*(1+'Table G'!$B$18)^5),"")</f>
        <v>116603.23586480686</v>
      </c>
      <c r="G225" s="17">
        <f>IFERROR(('Table G'!$B$14+'Table G'!$B$15)/(1+'Table G'!$B$18)*IF(ABS(((1+$A225)/(1+'Table G'!$B$18))-1)&lt;0.000000001,10,(1-((1+$A225)/(1+'Table G'!$B$18))^10)/(1-((1+$A225)/(1+'Table G'!$B$18))))+('Table G'!$B$14+'Table G'!$B$15)*(1+$A225)^(10-1)*(1+'Table G'!$B$27)/(('Table G'!$B$18-'Table G'!$B$27)*(1+'Table G'!$B$18)^10),"")</f>
        <v>164339.96188567299</v>
      </c>
    </row>
    <row r="226" spans="1:7" x14ac:dyDescent="0.2">
      <c r="A226" s="8">
        <f>-0.1+222*$B$2</f>
        <v>0.122</v>
      </c>
      <c r="B226" s="17">
        <f>IFERROR(('Table G'!$B$14+'Table G'!$B$15)/(1+'Table G'!$B$18)*IF(ABS(((1+$A226)/(1+'Table G'!$B$18))-1)&lt;0.000000001,5,(1-((1+$A226)/(1+'Table G'!$B$18))^5)/(1-((1+$A226)/(1+'Table G'!$B$18))))+('Table G'!$B$14+'Table G'!$B$15)*(1+$A226)^(5-1)*(1+'Table G'!$B$25)/(('Table G'!$B$18-'Table G'!$B$25)*(1+'Table G'!$B$18)^5),"")</f>
        <v>102448.29412679229</v>
      </c>
      <c r="C226" s="17">
        <f>IFERROR(('Table G'!$B$14+'Table G'!$B$15)/(1+'Table G'!$B$18)*IF(ABS(((1+$A226)/(1+'Table G'!$B$18))-1)&lt;0.000000001,10,(1-((1+$A226)/(1+'Table G'!$B$18))^10)/(1-((1+$A226)/(1+'Table G'!$B$18))))+('Table G'!$B$14+'Table G'!$B$15)*(1+$A226)^(10-1)*(1+'Table G'!$B$25)/(('Table G'!$B$18-'Table G'!$B$25)*(1+'Table G'!$B$18)^10),"")</f>
        <v>147916.44737600934</v>
      </c>
      <c r="D226" s="17">
        <f>IFERROR(('Table G'!$B$14+'Table G'!$B$15)/(1+'Table G'!$B$18)*IF(ABS(((1+$A226)/(1+'Table G'!$B$18))-1)&lt;0.000000001,5,(1-((1+$A226)/(1+'Table G'!$B$18))^5)/(1-((1+$A226)/(1+'Table G'!$B$18))))+('Table G'!$B$14+'Table G'!$B$15)*(1+$A226)^(5-1)*(1+'Table G'!$B$26)/(('Table G'!$B$18-'Table G'!$B$26)*(1+'Table G'!$B$18)^5),"")</f>
        <v>109131.57682320246</v>
      </c>
      <c r="E226" s="17">
        <f>IFERROR(('Table G'!$B$14+'Table G'!$B$15)/(1+'Table G'!$B$18)*IF(ABS(((1+$A226)/(1+'Table G'!$B$18))-1)&lt;0.000000001,10,(1-((1+$A226)/(1+'Table G'!$B$18))^10)/(1-((1+$A226)/(1+'Table G'!$B$18))))+('Table G'!$B$14+'Table G'!$B$15)*(1+$A226)^(10-1)*(1+'Table G'!$B$26)/(('Table G'!$B$18-'Table G'!$B$26)*(1+'Table G'!$B$18)^10),"")</f>
        <v>155987.71546159324</v>
      </c>
      <c r="F226" s="17">
        <f>IFERROR(('Table G'!$B$14+'Table G'!$B$15)/(1+'Table G'!$B$18)*IF(ABS(((1+$A226)/(1+'Table G'!$B$18))-1)&lt;0.000000001,5,(1-((1+$A226)/(1+'Table G'!$B$18))^5)/(1-((1+$A226)/(1+'Table G'!$B$18))))+('Table G'!$B$14+'Table G'!$B$15)*(1+$A226)^(5-1)*(1+'Table G'!$B$27)/(('Table G'!$B$18-'Table G'!$B$27)*(1+'Table G'!$B$18)^5),"")</f>
        <v>116978.2922325273</v>
      </c>
      <c r="G226" s="17">
        <f>IFERROR(('Table G'!$B$14+'Table G'!$B$15)/(1+'Table G'!$B$18)*IF(ABS(((1+$A226)/(1+'Table G'!$B$18))-1)&lt;0.000000001,10,(1-((1+$A226)/(1+'Table G'!$B$18))^10)/(1-((1+$A226)/(1+'Table G'!$B$18))))+('Table G'!$B$14+'Table G'!$B$15)*(1+$A226)^(10-1)*(1+'Table G'!$B$27)/(('Table G'!$B$18-'Table G'!$B$27)*(1+'Table G'!$B$18)^10),"")</f>
        <v>165464.03818155857</v>
      </c>
    </row>
    <row r="227" spans="1:7" x14ac:dyDescent="0.2">
      <c r="A227" s="8">
        <f>-0.1+223*$B$2</f>
        <v>0.123</v>
      </c>
      <c r="B227" s="17">
        <f>IFERROR(('Table G'!$B$14+'Table G'!$B$15)/(1+'Table G'!$B$18)*IF(ABS(((1+$A227)/(1+'Table G'!$B$18))-1)&lt;0.000000001,5,(1-((1+$A227)/(1+'Table G'!$B$18))^5)/(1-((1+$A227)/(1+'Table G'!$B$18))))+('Table G'!$B$14+'Table G'!$B$15)*(1+$A227)^(5-1)*(1+'Table G'!$B$25)/(('Table G'!$B$18-'Table G'!$B$25)*(1+'Table G'!$B$18)^5),"")</f>
        <v>102772.4465715158</v>
      </c>
      <c r="C227" s="17">
        <f>IFERROR(('Table G'!$B$14+'Table G'!$B$15)/(1+'Table G'!$B$18)*IF(ABS(((1+$A227)/(1+'Table G'!$B$18))-1)&lt;0.000000001,10,(1-((1+$A227)/(1+'Table G'!$B$18))^10)/(1-((1+$A227)/(1+'Table G'!$B$18))))+('Table G'!$B$14+'Table G'!$B$15)*(1+$A227)^(10-1)*(1+'Table G'!$B$25)/(('Table G'!$B$18-'Table G'!$B$25)*(1+'Table G'!$B$18)^10),"")</f>
        <v>148906.79887274507</v>
      </c>
      <c r="D227" s="17">
        <f>IFERROR(('Table G'!$B$14+'Table G'!$B$15)/(1+'Table G'!$B$18)*IF(ABS(((1+$A227)/(1+'Table G'!$B$18))-1)&lt;0.000000001,5,(1-((1+$A227)/(1+'Table G'!$B$18))^5)/(1-((1+$A227)/(1+'Table G'!$B$18))))+('Table G'!$B$14+'Table G'!$B$15)*(1+$A227)^(5-1)*(1+'Table G'!$B$26)/(('Table G'!$B$18-'Table G'!$B$26)*(1+'Table G'!$B$18)^5),"")</f>
        <v>109479.58745999871</v>
      </c>
      <c r="E227" s="17">
        <f>IFERROR(('Table G'!$B$14+'Table G'!$B$15)/(1+'Table G'!$B$18)*IF(ABS(((1+$A227)/(1+'Table G'!$B$18))-1)&lt;0.000000001,10,(1-((1+$A227)/(1+'Table G'!$B$18))^10)/(1-((1+$A227)/(1+'Table G'!$B$18))))+('Table G'!$B$14+'Table G'!$B$15)*(1+$A227)^(10-1)*(1+'Table G'!$B$26)/(('Table G'!$B$18-'Table G'!$B$26)*(1+'Table G'!$B$18)^10),"")</f>
        <v>157043.04104319614</v>
      </c>
      <c r="F227" s="17">
        <f>IFERROR(('Table G'!$B$14+'Table G'!$B$15)/(1+'Table G'!$B$18)*IF(ABS(((1+$A227)/(1+'Table G'!$B$18))-1)&lt;0.000000001,5,(1-((1+$A227)/(1+'Table G'!$B$18))^5)/(1-((1+$A227)/(1+'Table G'!$B$18))))+('Table G'!$B$14+'Table G'!$B$15)*(1+$A227)^(5-1)*(1+'Table G'!$B$27)/(('Table G'!$B$18-'Table G'!$B$27)*(1+'Table G'!$B$18)^5),"")</f>
        <v>117354.31431996536</v>
      </c>
      <c r="G227" s="17">
        <f>IFERROR(('Table G'!$B$14+'Table G'!$B$15)/(1+'Table G'!$B$18)*IF(ABS(((1+$A227)/(1+'Table G'!$B$18))-1)&lt;0.000000001,10,(1-((1+$A227)/(1+'Table G'!$B$18))^10)/(1-((1+$A227)/(1+'Table G'!$B$18))))+('Table G'!$B$14+'Table G'!$B$15)*(1+$A227)^(10-1)*(1+'Table G'!$B$27)/(('Table G'!$B$18-'Table G'!$B$27)*(1+'Table G'!$B$18)^10),"")</f>
        <v>166595.64860342533</v>
      </c>
    </row>
    <row r="228" spans="1:7" x14ac:dyDescent="0.2">
      <c r="A228" s="8">
        <f>-0.1+224*$B$2</f>
        <v>0.124</v>
      </c>
      <c r="B228" s="17">
        <f>IFERROR(('Table G'!$B$14+'Table G'!$B$15)/(1+'Table G'!$B$18)*IF(ABS(((1+$A228)/(1+'Table G'!$B$18))-1)&lt;0.000000001,5,(1-((1+$A228)/(1+'Table G'!$B$18))^5)/(1-((1+$A228)/(1+'Table G'!$B$18))))+('Table G'!$B$14+'Table G'!$B$15)*(1+$A228)^(5-1)*(1+'Table G'!$B$25)/(('Table G'!$B$18-'Table G'!$B$25)*(1+'Table G'!$B$18)^5),"")</f>
        <v>103097.42767250475</v>
      </c>
      <c r="C228" s="17">
        <f>IFERROR(('Table G'!$B$14+'Table G'!$B$15)/(1+'Table G'!$B$18)*IF(ABS(((1+$A228)/(1+'Table G'!$B$18))-1)&lt;0.000000001,10,(1-((1+$A228)/(1+'Table G'!$B$18))^10)/(1-((1+$A228)/(1+'Table G'!$B$18))))+('Table G'!$B$14+'Table G'!$B$15)*(1+$A228)^(10-1)*(1+'Table G'!$B$25)/(('Table G'!$B$18-'Table G'!$B$25)*(1+'Table G'!$B$18)^10),"")</f>
        <v>149903.72008038947</v>
      </c>
      <c r="D228" s="17">
        <f>IFERROR(('Table G'!$B$14+'Table G'!$B$15)/(1+'Table G'!$B$18)*IF(ABS(((1+$A228)/(1+'Table G'!$B$18))-1)&lt;0.000000001,5,(1-((1+$A228)/(1+'Table G'!$B$18))^5)/(1-((1+$A228)/(1+'Table G'!$B$18))))+('Table G'!$B$14+'Table G'!$B$15)*(1+$A228)^(5-1)*(1+'Table G'!$B$26)/(('Table G'!$B$18-'Table G'!$B$26)*(1+'Table G'!$B$18)^5),"")</f>
        <v>109828.49057341607</v>
      </c>
      <c r="E228" s="17">
        <f>IFERROR(('Table G'!$B$14+'Table G'!$B$15)/(1+'Table G'!$B$18)*IF(ABS(((1+$A228)/(1+'Table G'!$B$18))-1)&lt;0.000000001,10,(1-((1+$A228)/(1+'Table G'!$B$18))^10)/(1-((1+$A228)/(1+'Table G'!$B$18))))+('Table G'!$B$14+'Table G'!$B$15)*(1+$A228)^(10-1)*(1+'Table G'!$B$26)/(('Table G'!$B$18-'Table G'!$B$26)*(1+'Table G'!$B$18)^10),"")</f>
        <v>158105.40084890349</v>
      </c>
      <c r="F228" s="17">
        <f>IFERROR(('Table G'!$B$14+'Table G'!$B$15)/(1+'Table G'!$B$18)*IF(ABS(((1+$A228)/(1+'Table G'!$B$18))-1)&lt;0.000000001,5,(1-((1+$A228)/(1+'Table G'!$B$18))^5)/(1-((1+$A228)/(1+'Table G'!$B$18))))+('Table G'!$B$14+'Table G'!$B$15)*(1+$A228)^(5-1)*(1+'Table G'!$B$27)/(('Table G'!$B$18-'Table G'!$B$27)*(1+'Table G'!$B$18)^5),"")</f>
        <v>117731.30381429321</v>
      </c>
      <c r="G228" s="17">
        <f>IFERROR(('Table G'!$B$14+'Table G'!$B$15)/(1+'Table G'!$B$18)*IF(ABS(((1+$A228)/(1+'Table G'!$B$18))-1)&lt;0.000000001,10,(1-((1+$A228)/(1+'Table G'!$B$18))^10)/(1-((1+$A228)/(1+'Table G'!$B$18))))+('Table G'!$B$14+'Table G'!$B$15)*(1+$A228)^(10-1)*(1+'Table G'!$B$27)/(('Table G'!$B$18-'Table G'!$B$27)*(1+'Table G'!$B$18)^10),"")</f>
        <v>167734.83862552635</v>
      </c>
    </row>
    <row r="229" spans="1:7" x14ac:dyDescent="0.2">
      <c r="A229" s="8">
        <f>-0.1+225*$B$2</f>
        <v>0.125</v>
      </c>
      <c r="B229" s="17">
        <f>IFERROR(('Table G'!$B$14+'Table G'!$B$15)/(1+'Table G'!$B$18)*IF(ABS(((1+$A229)/(1+'Table G'!$B$18))-1)&lt;0.000000001,5,(1-((1+$A229)/(1+'Table G'!$B$18))^5)/(1-((1+$A229)/(1+'Table G'!$B$18))))+('Table G'!$B$14+'Table G'!$B$15)*(1+$A229)^(5-1)*(1+'Table G'!$B$25)/(('Table G'!$B$18-'Table G'!$B$25)*(1+'Table G'!$B$18)^5),"")</f>
        <v>103423.23887119832</v>
      </c>
      <c r="C229" s="17">
        <f>IFERROR(('Table G'!$B$14+'Table G'!$B$15)/(1+'Table G'!$B$18)*IF(ABS(((1+$A229)/(1+'Table G'!$B$18))-1)&lt;0.000000001,10,(1-((1+$A229)/(1+'Table G'!$B$18))^10)/(1-((1+$A229)/(1+'Table G'!$B$18))))+('Table G'!$B$14+'Table G'!$B$15)*(1+$A229)^(10-1)*(1+'Table G'!$B$25)/(('Table G'!$B$18-'Table G'!$B$25)*(1+'Table G'!$B$18)^10),"")</f>
        <v>150907.25039956201</v>
      </c>
      <c r="D229" s="17">
        <f>IFERROR(('Table G'!$B$14+'Table G'!$B$15)/(1+'Table G'!$B$18)*IF(ABS(((1+$A229)/(1+'Table G'!$B$18))-1)&lt;0.000000001,5,(1-((1+$A229)/(1+'Table G'!$B$18))^5)/(1-((1+$A229)/(1+'Table G'!$B$18))))+('Table G'!$B$14+'Table G'!$B$15)*(1+$A229)^(5-1)*(1+'Table G'!$B$26)/(('Table G'!$B$18-'Table G'!$B$26)*(1+'Table G'!$B$18)^5),"")</f>
        <v>110178.28771860473</v>
      </c>
      <c r="E229" s="17">
        <f>IFERROR(('Table G'!$B$14+'Table G'!$B$15)/(1+'Table G'!$B$18)*IF(ABS(((1+$A229)/(1+'Table G'!$B$18))-1)&lt;0.000000001,10,(1-((1+$A229)/(1+'Table G'!$B$18))^10)/(1-((1+$A229)/(1+'Table G'!$B$18))))+('Table G'!$B$14+'Table G'!$B$15)*(1+$A229)^(10-1)*(1+'Table G'!$B$26)/(('Table G'!$B$18-'Table G'!$B$26)*(1+'Table G'!$B$18)^10),"")</f>
        <v>159174.83718253067</v>
      </c>
      <c r="F229" s="17">
        <f>IFERROR(('Table G'!$B$14+'Table G'!$B$15)/(1+'Table G'!$B$18)*IF(ABS(((1+$A229)/(1+'Table G'!$B$18))-1)&lt;0.000000001,5,(1-((1+$A229)/(1+'Table G'!$B$18))^5)/(1-((1+$A229)/(1+'Table G'!$B$18))))+('Table G'!$B$14+'Table G'!$B$15)*(1+$A229)^(5-1)*(1+'Table G'!$B$27)/(('Table G'!$B$18-'Table G'!$B$27)*(1+'Table G'!$B$18)^5),"")</f>
        <v>118109.26240416704</v>
      </c>
      <c r="G229" s="17">
        <f>IFERROR(('Table G'!$B$14+'Table G'!$B$15)/(1+'Table G'!$B$18)*IF(ABS(((1+$A229)/(1+'Table G'!$B$18))-1)&lt;0.000000001,10,(1-((1+$A229)/(1+'Table G'!$B$18))^10)/(1-((1+$A229)/(1+'Table G'!$B$18))))+('Table G'!$B$14+'Table G'!$B$15)*(1+$A229)^(10-1)*(1+'Table G'!$B$27)/(('Table G'!$B$18-'Table G'!$B$27)*(1+'Table G'!$B$18)^10),"")</f>
        <v>168881.65396026423</v>
      </c>
    </row>
    <row r="230" spans="1:7" x14ac:dyDescent="0.2">
      <c r="A230" s="8">
        <f>-0.1+226*$B$2</f>
        <v>0.126</v>
      </c>
      <c r="B230" s="17">
        <f>IFERROR(('Table G'!$B$14+'Table G'!$B$15)/(1+'Table G'!$B$18)*IF(ABS(((1+$A230)/(1+'Table G'!$B$18))-1)&lt;0.000000001,5,(1-((1+$A230)/(1+'Table G'!$B$18))^5)/(1-((1+$A230)/(1+'Table G'!$B$18))))+('Table G'!$B$14+'Table G'!$B$15)*(1+$A230)^(5-1)*(1+'Table G'!$B$25)/(('Table G'!$B$18-'Table G'!$B$25)*(1+'Table G'!$B$18)^5),"")</f>
        <v>103749.88161029971</v>
      </c>
      <c r="C230" s="17">
        <f>IFERROR(('Table G'!$B$14+'Table G'!$B$15)/(1+'Table G'!$B$18)*IF(ABS(((1+$A230)/(1+'Table G'!$B$18))-1)&lt;0.000000001,10,(1-((1+$A230)/(1+'Table G'!$B$18))^10)/(1-((1+$A230)/(1+'Table G'!$B$18))))+('Table G'!$B$14+'Table G'!$B$15)*(1+$A230)^(10-1)*(1+'Table G'!$B$25)/(('Table G'!$B$18-'Table G'!$B$25)*(1+'Table G'!$B$18)^10),"")</f>
        <v>151917.42943629521</v>
      </c>
      <c r="D230" s="17">
        <f>IFERROR(('Table G'!$B$14+'Table G'!$B$15)/(1+'Table G'!$B$18)*IF(ABS(((1+$A230)/(1+'Table G'!$B$18))-1)&lt;0.000000001,5,(1-((1+$A230)/(1+'Table G'!$B$18))^5)/(1-((1+$A230)/(1+'Table G'!$B$18))))+('Table G'!$B$14+'Table G'!$B$15)*(1+$A230)^(5-1)*(1+'Table G'!$B$26)/(('Table G'!$B$18-'Table G'!$B$26)*(1+'Table G'!$B$18)^5),"")</f>
        <v>110528.98045208018</v>
      </c>
      <c r="E230" s="17">
        <f>IFERROR(('Table G'!$B$14+'Table G'!$B$15)/(1+'Table G'!$B$18)*IF(ABS(((1+$A230)/(1+'Table G'!$B$18))-1)&lt;0.000000001,10,(1-((1+$A230)/(1+'Table G'!$B$18))^10)/(1-((1+$A230)/(1+'Table G'!$B$18))))+('Table G'!$B$14+'Table G'!$B$15)*(1+$A230)^(10-1)*(1+'Table G'!$B$26)/(('Table G'!$B$18-'Table G'!$B$26)*(1+'Table G'!$B$18)^10),"")</f>
        <v>160251.39256884507</v>
      </c>
      <c r="F230" s="17">
        <f>IFERROR(('Table G'!$B$14+'Table G'!$B$15)/(1+'Table G'!$B$18)*IF(ABS(((1+$A230)/(1+'Table G'!$B$18))-1)&lt;0.000000001,5,(1-((1+$A230)/(1+'Table G'!$B$18))^5)/(1-((1+$A230)/(1+'Table G'!$B$18))))+('Table G'!$B$14+'Table G'!$B$15)*(1+$A230)^(5-1)*(1+'Table G'!$B$27)/(('Table G'!$B$18-'Table G'!$B$27)*(1+'Table G'!$B$18)^5),"")</f>
        <v>118488.19177972717</v>
      </c>
      <c r="G230" s="17">
        <f>IFERROR(('Table G'!$B$14+'Table G'!$B$15)/(1+'Table G'!$B$18)*IF(ABS(((1+$A230)/(1+'Table G'!$B$18))-1)&lt;0.000000001,10,(1-((1+$A230)/(1+'Table G'!$B$18))^10)/(1-((1+$A230)/(1+'Table G'!$B$18))))+('Table G'!$B$14+'Table G'!$B$15)*(1+$A230)^(10-1)*(1+'Table G'!$B$27)/(('Table G'!$B$18-'Table G'!$B$27)*(1+'Table G'!$B$18)^10),"")</f>
        <v>170036.14055923751</v>
      </c>
    </row>
    <row r="231" spans="1:7" x14ac:dyDescent="0.2">
      <c r="A231" s="8">
        <f>-0.1+227*$B$2</f>
        <v>0.127</v>
      </c>
      <c r="B231" s="17">
        <f>IFERROR(('Table G'!$B$14+'Table G'!$B$15)/(1+'Table G'!$B$18)*IF(ABS(((1+$A231)/(1+'Table G'!$B$18))-1)&lt;0.000000001,5,(1-((1+$A231)/(1+'Table G'!$B$18))^5)/(1-((1+$A231)/(1+'Table G'!$B$18))))+('Table G'!$B$14+'Table G'!$B$15)*(1+$A231)^(5-1)*(1+'Table G'!$B$25)/(('Table G'!$B$18-'Table G'!$B$25)*(1+'Table G'!$B$18)^5),"")</f>
        <v>104077.3573337764</v>
      </c>
      <c r="C231" s="17">
        <f>IFERROR(('Table G'!$B$14+'Table G'!$B$15)/(1+'Table G'!$B$18)*IF(ABS(((1+$A231)/(1+'Table G'!$B$18))-1)&lt;0.000000001,10,(1-((1+$A231)/(1+'Table G'!$B$18))^10)/(1-((1+$A231)/(1+'Table G'!$B$18))))+('Table G'!$B$14+'Table G'!$B$15)*(1+$A231)^(10-1)*(1+'Table G'!$B$25)/(('Table G'!$B$18-'Table G'!$B$25)*(1+'Table G'!$B$18)^10),"")</f>
        <v>152934.29700293357</v>
      </c>
      <c r="D231" s="17">
        <f>IFERROR(('Table G'!$B$14+'Table G'!$B$15)/(1+'Table G'!$B$18)*IF(ABS(((1+$A231)/(1+'Table G'!$B$18))-1)&lt;0.000000001,5,(1-((1+$A231)/(1+'Table G'!$B$18))^5)/(1-((1+$A231)/(1+'Table G'!$B$18))))+('Table G'!$B$14+'Table G'!$B$15)*(1+$A231)^(5-1)*(1+'Table G'!$B$26)/(('Table G'!$B$18-'Table G'!$B$26)*(1+'Table G'!$B$18)^5),"")</f>
        <v>110880.57033172343</v>
      </c>
      <c r="E231" s="17">
        <f>IFERROR(('Table G'!$B$14+'Table G'!$B$15)/(1+'Table G'!$B$18)*IF(ABS(((1+$A231)/(1+'Table G'!$B$18))-1)&lt;0.000000001,10,(1-((1+$A231)/(1+'Table G'!$B$18))^10)/(1-((1+$A231)/(1+'Table G'!$B$18))))+('Table G'!$B$14+'Table G'!$B$15)*(1+$A231)^(10-1)*(1+'Table G'!$B$26)/(('Table G'!$B$18-'Table G'!$B$26)*(1+'Table G'!$B$18)^10),"")</f>
        <v>161335.10975453418</v>
      </c>
      <c r="F231" s="17">
        <f>IFERROR(('Table G'!$B$14+'Table G'!$B$15)/(1+'Table G'!$B$18)*IF(ABS(((1+$A231)/(1+'Table G'!$B$18))-1)&lt;0.000000001,5,(1-((1+$A231)/(1+'Table G'!$B$18))^5)/(1-((1+$A231)/(1+'Table G'!$B$18))))+('Table G'!$B$14+'Table G'!$B$15)*(1+$A231)^(5-1)*(1+'Table G'!$B$27)/(('Table G'!$B$18-'Table G'!$B$27)*(1+'Table G'!$B$18)^5),"")</f>
        <v>118868.09363259829</v>
      </c>
      <c r="G231" s="17">
        <f>IFERROR(('Table G'!$B$14+'Table G'!$B$15)/(1+'Table G'!$B$18)*IF(ABS(((1+$A231)/(1+'Table G'!$B$18))-1)&lt;0.000000001,10,(1-((1+$A231)/(1+'Table G'!$B$18))^10)/(1-((1+$A231)/(1+'Table G'!$B$18))))+('Table G'!$B$14+'Table G'!$B$15)*(1+$A231)^(10-1)*(1+'Table G'!$B$27)/(('Table G'!$B$18-'Table G'!$B$27)*(1+'Table G'!$B$18)^10),"")</f>
        <v>171198.34461429022</v>
      </c>
    </row>
    <row r="232" spans="1:7" x14ac:dyDescent="0.2">
      <c r="A232" s="8">
        <f>-0.1+228*$B$2</f>
        <v>0.128</v>
      </c>
      <c r="B232" s="17">
        <f>IFERROR(('Table G'!$B$14+'Table G'!$B$15)/(1+'Table G'!$B$18)*IF(ABS(((1+$A232)/(1+'Table G'!$B$18))-1)&lt;0.000000001,5,(1-((1+$A232)/(1+'Table G'!$B$18))^5)/(1-((1+$A232)/(1+'Table G'!$B$18))))+('Table G'!$B$14+'Table G'!$B$15)*(1+$A232)^(5-1)*(1+'Table G'!$B$25)/(('Table G'!$B$18-'Table G'!$B$25)*(1+'Table G'!$B$18)^5),"")</f>
        <v>104405.66748685949</v>
      </c>
      <c r="C232" s="17">
        <f>IFERROR(('Table G'!$B$14+'Table G'!$B$15)/(1+'Table G'!$B$18)*IF(ABS(((1+$A232)/(1+'Table G'!$B$18))-1)&lt;0.000000001,10,(1-((1+$A232)/(1+'Table G'!$B$18))^10)/(1-((1+$A232)/(1+'Table G'!$B$18))))+('Table G'!$B$14+'Table G'!$B$15)*(1+$A232)^(10-1)*(1+'Table G'!$B$25)/(('Table G'!$B$18-'Table G'!$B$25)*(1+'Table G'!$B$18)^10),"")</f>
        <v>153957.89311903378</v>
      </c>
      <c r="D232" s="17">
        <f>IFERROR(('Table G'!$B$14+'Table G'!$B$15)/(1+'Table G'!$B$18)*IF(ABS(((1+$A232)/(1+'Table G'!$B$18))-1)&lt;0.000000001,5,(1-((1+$A232)/(1+'Table G'!$B$18))^5)/(1-((1+$A232)/(1+'Table G'!$B$18))))+('Table G'!$B$14+'Table G'!$B$15)*(1+$A232)^(5-1)*(1+'Table G'!$B$26)/(('Table G'!$B$18-'Table G'!$B$26)*(1+'Table G'!$B$18)^5),"")</f>
        <v>111233.05891678025</v>
      </c>
      <c r="E232" s="17">
        <f>IFERROR(('Table G'!$B$14+'Table G'!$B$15)/(1+'Table G'!$B$18)*IF(ABS(((1+$A232)/(1+'Table G'!$B$18))-1)&lt;0.000000001,10,(1-((1+$A232)/(1+'Table G'!$B$18))^10)/(1-((1+$A232)/(1+'Table G'!$B$18))))+('Table G'!$B$14+'Table G'!$B$15)*(1+$A232)^(10-1)*(1+'Table G'!$B$26)/(('Table G'!$B$18-'Table G'!$B$26)*(1+'Table G'!$B$18)^10),"")</f>
        <v>162426.03170917538</v>
      </c>
      <c r="F232" s="17">
        <f>IFERROR(('Table G'!$B$14+'Table G'!$B$15)/(1+'Table G'!$B$18)*IF(ABS(((1+$A232)/(1+'Table G'!$B$18))-1)&lt;0.000000001,5,(1-((1+$A232)/(1+'Table G'!$B$18))^5)/(1-((1+$A232)/(1+'Table G'!$B$18))))+('Table G'!$B$14+'Table G'!$B$15)*(1+$A232)^(5-1)*(1+'Table G'!$B$27)/(('Table G'!$B$18-'Table G'!$B$27)*(1+'Table G'!$B$18)^5),"")</f>
        <v>119248.96965588866</v>
      </c>
      <c r="G232" s="17">
        <f>IFERROR(('Table G'!$B$14+'Table G'!$B$15)/(1+'Table G'!$B$18)*IF(ABS(((1+$A232)/(1+'Table G'!$B$18))-1)&lt;0.000000001,10,(1-((1+$A232)/(1+'Table G'!$B$18))^10)/(1-((1+$A232)/(1+'Table G'!$B$18))))+('Table G'!$B$14+'Table G'!$B$15)*(1+$A232)^(10-1)*(1+'Table G'!$B$27)/(('Table G'!$B$18-'Table G'!$B$27)*(1+'Table G'!$B$18)^10),"")</f>
        <v>172368.31255856296</v>
      </c>
    </row>
    <row r="233" spans="1:7" x14ac:dyDescent="0.2">
      <c r="A233" s="8">
        <f>-0.1+229*$B$2</f>
        <v>0.129</v>
      </c>
      <c r="B233" s="17">
        <f>IFERROR(('Table G'!$B$14+'Table G'!$B$15)/(1+'Table G'!$B$18)*IF(ABS(((1+$A233)/(1+'Table G'!$B$18))-1)&lt;0.000000001,5,(1-((1+$A233)/(1+'Table G'!$B$18))^5)/(1-((1+$A233)/(1+'Table G'!$B$18))))+('Table G'!$B$14+'Table G'!$B$15)*(1+$A233)^(5-1)*(1+'Table G'!$B$25)/(('Table G'!$B$18-'Table G'!$B$25)*(1+'Table G'!$B$18)^5),"")</f>
        <v>104734.81351604431</v>
      </c>
      <c r="C233" s="17">
        <f>IFERROR(('Table G'!$B$14+'Table G'!$B$15)/(1+'Table G'!$B$18)*IF(ABS(((1+$A233)/(1+'Table G'!$B$18))-1)&lt;0.000000001,10,(1-((1+$A233)/(1+'Table G'!$B$18))^10)/(1-((1+$A233)/(1+'Table G'!$B$18))))+('Table G'!$B$14+'Table G'!$B$15)*(1+$A233)^(10-1)*(1+'Table G'!$B$25)/(('Table G'!$B$18-'Table G'!$B$25)*(1+'Table G'!$B$18)^10),"")</f>
        <v>154988.25801227195</v>
      </c>
      <c r="D233" s="17">
        <f>IFERROR(('Table G'!$B$14+'Table G'!$B$15)/(1+'Table G'!$B$18)*IF(ABS(((1+$A233)/(1+'Table G'!$B$18))-1)&lt;0.000000001,5,(1-((1+$A233)/(1+'Table G'!$B$18))^5)/(1-((1+$A233)/(1+'Table G'!$B$18))))+('Table G'!$B$14+'Table G'!$B$15)*(1+$A233)^(5-1)*(1+'Table G'!$B$26)/(('Table G'!$B$18-'Table G'!$B$26)*(1+'Table G'!$B$18)^5),"")</f>
        <v>111586.4477678619</v>
      </c>
      <c r="E233" s="17">
        <f>IFERROR(('Table G'!$B$14+'Table G'!$B$15)/(1+'Table G'!$B$18)*IF(ABS(((1+$A233)/(1+'Table G'!$B$18))-1)&lt;0.000000001,10,(1-((1+$A233)/(1+'Table G'!$B$18))^10)/(1-((1+$A233)/(1+'Table G'!$B$18))))+('Table G'!$B$14+'Table G'!$B$15)*(1+$A233)^(10-1)*(1+'Table G'!$B$26)/(('Table G'!$B$18-'Table G'!$B$26)*(1+'Table G'!$B$18)^10),"")</f>
        <v>163524.20162621274</v>
      </c>
      <c r="F233" s="17">
        <f>IFERROR(('Table G'!$B$14+'Table G'!$B$15)/(1+'Table G'!$B$18)*IF(ABS(((1+$A233)/(1+'Table G'!$B$18))-1)&lt;0.000000001,5,(1-((1+$A233)/(1+'Table G'!$B$18))^5)/(1-((1+$A233)/(1+'Table G'!$B$18))))+('Table G'!$B$14+'Table G'!$B$15)*(1+$A233)^(5-1)*(1+'Table G'!$B$27)/(('Table G'!$B$18-'Table G'!$B$27)*(1+'Table G'!$B$18)^5),"")</f>
        <v>119630.82154419083</v>
      </c>
      <c r="G233" s="17">
        <f>IFERROR(('Table G'!$B$14+'Table G'!$B$15)/(1+'Table G'!$B$18)*IF(ABS(((1+$A233)/(1+'Table G'!$B$18))-1)&lt;0.000000001,10,(1-((1+$A233)/(1+'Table G'!$B$18))^10)/(1-((1+$A233)/(1+'Table G'!$B$18))))+('Table G'!$B$14+'Table G'!$B$15)*(1+$A233)^(10-1)*(1+'Table G'!$B$27)/(('Table G'!$B$18-'Table G'!$B$27)*(1+'Table G'!$B$18)^10),"")</f>
        <v>173546.09106755181</v>
      </c>
    </row>
    <row r="234" spans="1:7" x14ac:dyDescent="0.2">
      <c r="A234" s="8">
        <f>-0.1+230*$B$2</f>
        <v>0.13</v>
      </c>
      <c r="B234" s="17">
        <f>IFERROR(('Table G'!$B$14+'Table G'!$B$15)/(1+'Table G'!$B$18)*IF(ABS(((1+$A234)/(1+'Table G'!$B$18))-1)&lt;0.000000001,5,(1-((1+$A234)/(1+'Table G'!$B$18))^5)/(1-((1+$A234)/(1+'Table G'!$B$18))))+('Table G'!$B$14+'Table G'!$B$15)*(1+$A234)^(5-1)*(1+'Table G'!$B$25)/(('Table G'!$B$18-'Table G'!$B$25)*(1+'Table G'!$B$18)^5),"")</f>
        <v>105064.79686909018</v>
      </c>
      <c r="C234" s="17">
        <f>IFERROR(('Table G'!$B$14+'Table G'!$B$15)/(1+'Table G'!$B$18)*IF(ABS(((1+$A234)/(1+'Table G'!$B$18))-1)&lt;0.000000001,10,(1-((1+$A234)/(1+'Table G'!$B$18))^10)/(1-((1+$A234)/(1+'Table G'!$B$18))))+('Table G'!$B$14+'Table G'!$B$15)*(1+$A234)^(10-1)*(1+'Table G'!$B$25)/(('Table G'!$B$18-'Table G'!$B$25)*(1+'Table G'!$B$18)^10),"")</f>
        <v>156025.432119351</v>
      </c>
      <c r="D234" s="17">
        <f>IFERROR(('Table G'!$B$14+'Table G'!$B$15)/(1+'Table G'!$B$18)*IF(ABS(((1+$A234)/(1+'Table G'!$B$18))-1)&lt;0.000000001,5,(1-((1+$A234)/(1+'Table G'!$B$18))^5)/(1-((1+$A234)/(1+'Table G'!$B$18))))+('Table G'!$B$14+'Table G'!$B$15)*(1+$A234)^(5-1)*(1+'Table G'!$B$26)/(('Table G'!$B$18-'Table G'!$B$26)*(1+'Table G'!$B$18)^5),"")</f>
        <v>111940.7384469448</v>
      </c>
      <c r="E234" s="17">
        <f>IFERROR(('Table G'!$B$14+'Table G'!$B$15)/(1+'Table G'!$B$18)*IF(ABS(((1+$A234)/(1+'Table G'!$B$18))-1)&lt;0.000000001,10,(1-((1+$A234)/(1+'Table G'!$B$18))^10)/(1-((1+$A234)/(1+'Table G'!$B$18))))+('Table G'!$B$14+'Table G'!$B$15)*(1+$A234)^(10-1)*(1+'Table G'!$B$26)/(('Table G'!$B$18-'Table G'!$B$26)*(1+'Table G'!$B$18)^10),"")</f>
        <v>164629.66292393464</v>
      </c>
      <c r="F234" s="17">
        <f>IFERROR(('Table G'!$B$14+'Table G'!$B$15)/(1+'Table G'!$B$18)*IF(ABS(((1+$A234)/(1+'Table G'!$B$18))-1)&lt;0.000000001,5,(1-((1+$A234)/(1+'Table G'!$B$18))^5)/(1-((1+$A234)/(1+'Table G'!$B$18))))+('Table G'!$B$14+'Table G'!$B$15)*(1+$A234)^(5-1)*(1+'Table G'!$B$27)/(('Table G'!$B$18-'Table G'!$B$27)*(1+'Table G'!$B$18)^5),"")</f>
        <v>120013.6509935814</v>
      </c>
      <c r="G234" s="17">
        <f>IFERROR(('Table G'!$B$14+'Table G'!$B$15)/(1+'Table G'!$B$18)*IF(ABS(((1+$A234)/(1+'Table G'!$B$18))-1)&lt;0.000000001,10,(1-((1+$A234)/(1+'Table G'!$B$18))^10)/(1-((1+$A234)/(1+'Table G'!$B$18))))+('Table G'!$B$14+'Table G'!$B$15)*(1+$A234)^(10-1)*(1+'Table G'!$B$27)/(('Table G'!$B$18-'Table G'!$B$27)*(1+'Table G'!$B$18)^10),"")</f>
        <v>174731.72706016802</v>
      </c>
    </row>
    <row r="235" spans="1:7" x14ac:dyDescent="0.2">
      <c r="A235" s="8">
        <f>-0.1+231*$B$2</f>
        <v>0.13100000000000001</v>
      </c>
      <c r="B235" s="17">
        <f>IFERROR(('Table G'!$B$14+'Table G'!$B$15)/(1+'Table G'!$B$18)*IF(ABS(((1+$A235)/(1+'Table G'!$B$18))-1)&lt;0.000000001,5,(1-((1+$A235)/(1+'Table G'!$B$18))^5)/(1-((1+$A235)/(1+'Table G'!$B$18))))+('Table G'!$B$14+'Table G'!$B$15)*(1+$A235)^(5-1)*(1+'Table G'!$B$25)/(('Table G'!$B$18-'Table G'!$B$25)*(1+'Table G'!$B$18)^5),"")</f>
        <v>105395.61899502066</v>
      </c>
      <c r="C235" s="17">
        <f>IFERROR(('Table G'!$B$14+'Table G'!$B$15)/(1+'Table G'!$B$18)*IF(ABS(((1+$A235)/(1+'Table G'!$B$18))-1)&lt;0.000000001,10,(1-((1+$A235)/(1+'Table G'!$B$18))^10)/(1-((1+$A235)/(1+'Table G'!$B$18))))+('Table G'!$B$14+'Table G'!$B$15)*(1+$A235)^(10-1)*(1+'Table G'!$B$25)/(('Table G'!$B$18-'Table G'!$B$25)*(1+'Table G'!$B$18)^10),"")</f>
        <v>157069.45608691266</v>
      </c>
      <c r="D235" s="17">
        <f>IFERROR(('Table G'!$B$14+'Table G'!$B$15)/(1+'Table G'!$B$18)*IF(ABS(((1+$A235)/(1+'Table G'!$B$18))-1)&lt;0.000000001,5,(1-((1+$A235)/(1+'Table G'!$B$18))^5)/(1-((1+$A235)/(1+'Table G'!$B$18))))+('Table G'!$B$14+'Table G'!$B$15)*(1+$A235)^(5-1)*(1+'Table G'!$B$26)/(('Table G'!$B$18-'Table G'!$B$26)*(1+'Table G'!$B$18)^5),"")</f>
        <v>112295.93251737082</v>
      </c>
      <c r="E235" s="17">
        <f>IFERROR(('Table G'!$B$14+'Table G'!$B$15)/(1+'Table G'!$B$18)*IF(ABS(((1+$A235)/(1+'Table G'!$B$18))-1)&lt;0.000000001,10,(1-((1+$A235)/(1+'Table G'!$B$18))^10)/(1-((1+$A235)/(1+'Table G'!$B$18))))+('Table G'!$B$14+'Table G'!$B$15)*(1+$A235)^(10-1)*(1+'Table G'!$B$26)/(('Table G'!$B$18-'Table G'!$B$26)*(1+'Table G'!$B$18)^10),"")</f>
        <v>165742.45924645595</v>
      </c>
      <c r="F235" s="17">
        <f>IFERROR(('Table G'!$B$14+'Table G'!$B$15)/(1+'Table G'!$B$18)*IF(ABS(((1+$A235)/(1+'Table G'!$B$18))-1)&lt;0.000000001,5,(1-((1+$A235)/(1+'Table G'!$B$18))^5)/(1-((1+$A235)/(1+'Table G'!$B$18))))+('Table G'!$B$14+'Table G'!$B$15)*(1+$A235)^(5-1)*(1+'Table G'!$B$27)/(('Table G'!$B$18-'Table G'!$B$27)*(1+'Table G'!$B$18)^5),"")</f>
        <v>120397.45970162124</v>
      </c>
      <c r="G235" s="17">
        <f>IFERROR(('Table G'!$B$14+'Table G'!$B$15)/(1+'Table G'!$B$18)*IF(ABS(((1+$A235)/(1+'Table G'!$B$18))-1)&lt;0.000000001,10,(1-((1+$A235)/(1+'Table G'!$B$18))^10)/(1-((1+$A235)/(1+'Table G'!$B$18))))+('Table G'!$B$14+'Table G'!$B$15)*(1+$A235)^(10-1)*(1+'Table G'!$B$27)/(('Table G'!$B$18-'Table G'!$B$27)*(1+'Table G'!$B$18)^10),"")</f>
        <v>175925.26769980264</v>
      </c>
    </row>
    <row r="236" spans="1:7" x14ac:dyDescent="0.2">
      <c r="A236" s="8">
        <f>-0.1+232*$B$2</f>
        <v>0.13200000000000001</v>
      </c>
      <c r="B236" s="17">
        <f>IFERROR(('Table G'!$B$14+'Table G'!$B$15)/(1+'Table G'!$B$18)*IF(ABS(((1+$A236)/(1+'Table G'!$B$18))-1)&lt;0.000000001,5,(1-((1+$A236)/(1+'Table G'!$B$18))^5)/(1-((1+$A236)/(1+'Table G'!$B$18))))+('Table G'!$B$14+'Table G'!$B$15)*(1+$A236)^(5-1)*(1+'Table G'!$B$25)/(('Table G'!$B$18-'Table G'!$B$25)*(1+'Table G'!$B$18)^5),"")</f>
        <v>105727.28134412289</v>
      </c>
      <c r="C236" s="17">
        <f>IFERROR(('Table G'!$B$14+'Table G'!$B$15)/(1+'Table G'!$B$18)*IF(ABS(((1+$A236)/(1+'Table G'!$B$18))-1)&lt;0.000000001,10,(1-((1+$A236)/(1+'Table G'!$B$18))^10)/(1-((1+$A236)/(1+'Table G'!$B$18))))+('Table G'!$B$14+'Table G'!$B$15)*(1+$A236)^(10-1)*(1+'Table G'!$B$25)/(('Table G'!$B$18-'Table G'!$B$25)*(1+'Table G'!$B$18)^10),"")</f>
        <v>158120.37077245064</v>
      </c>
      <c r="D236" s="17">
        <f>IFERROR(('Table G'!$B$14+'Table G'!$B$15)/(1+'Table G'!$B$18)*IF(ABS(((1+$A236)/(1+'Table G'!$B$18))-1)&lt;0.000000001,5,(1-((1+$A236)/(1+'Table G'!$B$18))^5)/(1-((1+$A236)/(1+'Table G'!$B$18))))+('Table G'!$B$14+'Table G'!$B$15)*(1+$A236)^(5-1)*(1+'Table G'!$B$26)/(('Table G'!$B$18-'Table G'!$B$26)*(1+'Table G'!$B$18)^5),"")</f>
        <v>112652.03154384669</v>
      </c>
      <c r="E236" s="17">
        <f>IFERROR(('Table G'!$B$14+'Table G'!$B$15)/(1+'Table G'!$B$18)*IF(ABS(((1+$A236)/(1+'Table G'!$B$18))-1)&lt;0.000000001,10,(1-((1+$A236)/(1+'Table G'!$B$18))^10)/(1-((1+$A236)/(1+'Table G'!$B$18))))+('Table G'!$B$14+'Table G'!$B$15)*(1+$A236)^(10-1)*(1+'Table G'!$B$26)/(('Table G'!$B$18-'Table G'!$B$26)*(1+'Table G'!$B$18)^10),"")</f>
        <v>166862.63446470138</v>
      </c>
      <c r="F236" s="17">
        <f>IFERROR(('Table G'!$B$14+'Table G'!$B$15)/(1+'Table G'!$B$18)*IF(ABS(((1+$A236)/(1+'Table G'!$B$18))-1)&lt;0.000000001,5,(1-((1+$A236)/(1+'Table G'!$B$18))^5)/(1-((1+$A236)/(1+'Table G'!$B$18))))+('Table G'!$B$14+'Table G'!$B$15)*(1+$A236)^(5-1)*(1+'Table G'!$B$27)/(('Table G'!$B$18-'Table G'!$B$27)*(1+'Table G'!$B$18)^5),"")</f>
        <v>120782.24936735489</v>
      </c>
      <c r="G236" s="17">
        <f>IFERROR(('Table G'!$B$14+'Table G'!$B$15)/(1+'Table G'!$B$18)*IF(ABS(((1+$A236)/(1+'Table G'!$B$18))-1)&lt;0.000000001,10,(1-((1+$A236)/(1+'Table G'!$B$18))^10)/(1-((1+$A236)/(1+'Table G'!$B$18))))+('Table G'!$B$14+'Table G'!$B$15)*(1+$A236)^(10-1)*(1+'Table G'!$B$27)/(('Table G'!$B$18-'Table G'!$B$27)*(1+'Table G'!$B$18)^10),"")</f>
        <v>177126.76039539278</v>
      </c>
    </row>
    <row r="237" spans="1:7" x14ac:dyDescent="0.2">
      <c r="A237" s="8">
        <f>-0.1+233*$B$2</f>
        <v>0.13300000000000001</v>
      </c>
      <c r="B237" s="17">
        <f>IFERROR(('Table G'!$B$14+'Table G'!$B$15)/(1+'Table G'!$B$18)*IF(ABS(((1+$A237)/(1+'Table G'!$B$18))-1)&lt;0.000000001,5,(1-((1+$A237)/(1+'Table G'!$B$18))^5)/(1-((1+$A237)/(1+'Table G'!$B$18))))+('Table G'!$B$14+'Table G'!$B$15)*(1+$A237)^(5-1)*(1+'Table G'!$B$25)/(('Table G'!$B$18-'Table G'!$B$25)*(1+'Table G'!$B$18)^5),"")</f>
        <v>106059.78536794829</v>
      </c>
      <c r="C237" s="17">
        <f>IFERROR(('Table G'!$B$14+'Table G'!$B$15)/(1+'Table G'!$B$18)*IF(ABS(((1+$A237)/(1+'Table G'!$B$18))-1)&lt;0.000000001,10,(1-((1+$A237)/(1+'Table G'!$B$18))^10)/(1-((1+$A237)/(1+'Table G'!$B$18))))+('Table G'!$B$14+'Table G'!$B$15)*(1+$A237)^(10-1)*(1+'Table G'!$B$25)/(('Table G'!$B$18-'Table G'!$B$25)*(1+'Table G'!$B$18)^10),"")</f>
        <v>159178.21724523048</v>
      </c>
      <c r="D237" s="17">
        <f>IFERROR(('Table G'!$B$14+'Table G'!$B$15)/(1+'Table G'!$B$18)*IF(ABS(((1+$A237)/(1+'Table G'!$B$18))-1)&lt;0.000000001,5,(1-((1+$A237)/(1+'Table G'!$B$18))^5)/(1-((1+$A237)/(1+'Table G'!$B$18))))+('Table G'!$B$14+'Table G'!$B$15)*(1+$A237)^(5-1)*(1+'Table G'!$B$26)/(('Table G'!$B$18-'Table G'!$B$26)*(1+'Table G'!$B$18)^5),"")</f>
        <v>113009.03709244456</v>
      </c>
      <c r="E237" s="17">
        <f>IFERROR(('Table G'!$B$14+'Table G'!$B$15)/(1+'Table G'!$B$18)*IF(ABS(((1+$A237)/(1+'Table G'!$B$18))-1)&lt;0.000000001,10,(1-((1+$A237)/(1+'Table G'!$B$18))^10)/(1-((1+$A237)/(1+'Table G'!$B$18))))+('Table G'!$B$14+'Table G'!$B$15)*(1+$A237)^(10-1)*(1+'Table G'!$B$26)/(('Table G'!$B$18-'Table G'!$B$26)*(1+'Table G'!$B$18)^10),"")</f>
        <v>167990.23267739645</v>
      </c>
      <c r="F237" s="17">
        <f>IFERROR(('Table G'!$B$14+'Table G'!$B$15)/(1+'Table G'!$B$18)*IF(ABS(((1+$A237)/(1+'Table G'!$B$18))-1)&lt;0.000000001,5,(1-((1+$A237)/(1+'Table G'!$B$18))^5)/(1-((1+$A237)/(1+'Table G'!$B$18))))+('Table G'!$B$14+'Table G'!$B$15)*(1+$A237)^(5-1)*(1+'Table G'!$B$27)/(('Table G'!$B$18-'Table G'!$B$27)*(1+'Table G'!$B$18)^5),"")</f>
        <v>121168.02169131112</v>
      </c>
      <c r="G237" s="17">
        <f>IFERROR(('Table G'!$B$14+'Table G'!$B$15)/(1+'Table G'!$B$18)*IF(ABS(((1+$A237)/(1+'Table G'!$B$18))-1)&lt;0.000000001,10,(1-((1+$A237)/(1+'Table G'!$B$18))^10)/(1-((1+$A237)/(1+'Table G'!$B$18))))+('Table G'!$B$14+'Table G'!$B$15)*(1+$A237)^(10-1)*(1+'Table G'!$B$27)/(('Table G'!$B$18-'Table G'!$B$27)*(1+'Table G'!$B$18)^10),"")</f>
        <v>178336.25280249535</v>
      </c>
    </row>
    <row r="238" spans="1:7" x14ac:dyDescent="0.2">
      <c r="A238" s="8">
        <f>-0.1+234*$B$2</f>
        <v>0.13400000000000001</v>
      </c>
      <c r="B238" s="17">
        <f>IFERROR(('Table G'!$B$14+'Table G'!$B$15)/(1+'Table G'!$B$18)*IF(ABS(((1+$A238)/(1+'Table G'!$B$18))-1)&lt;0.000000001,5,(1-((1+$A238)/(1+'Table G'!$B$18))^5)/(1-((1+$A238)/(1+'Table G'!$B$18))))+('Table G'!$B$14+'Table G'!$B$15)*(1+$A238)^(5-1)*(1+'Table G'!$B$25)/(('Table G'!$B$18-'Table G'!$B$25)*(1+'Table G'!$B$18)^5),"")</f>
        <v>106393.13251931232</v>
      </c>
      <c r="C238" s="17">
        <f>IFERROR(('Table G'!$B$14+'Table G'!$B$15)/(1+'Table G'!$B$18)*IF(ABS(((1+$A238)/(1+'Table G'!$B$18))-1)&lt;0.000000001,10,(1-((1+$A238)/(1+'Table G'!$B$18))^10)/(1-((1+$A238)/(1+'Table G'!$B$18))))+('Table G'!$B$14+'Table G'!$B$15)*(1+$A238)^(10-1)*(1+'Table G'!$B$25)/(('Table G'!$B$18-'Table G'!$B$25)*(1+'Table G'!$B$18)^10),"")</f>
        <v>160243.03678720957</v>
      </c>
      <c r="D238" s="17">
        <f>IFERROR(('Table G'!$B$14+'Table G'!$B$15)/(1+'Table G'!$B$18)*IF(ABS(((1+$A238)/(1+'Table G'!$B$18))-1)&lt;0.000000001,5,(1-((1+$A238)/(1+'Table G'!$B$18))^5)/(1-((1+$A238)/(1+'Table G'!$B$18))))+('Table G'!$B$14+'Table G'!$B$15)*(1+$A238)^(5-1)*(1+'Table G'!$B$26)/(('Table G'!$B$18-'Table G'!$B$26)*(1+'Table G'!$B$18)^5),"")</f>
        <v>113366.95073060185</v>
      </c>
      <c r="E238" s="17">
        <f>IFERROR(('Table G'!$B$14+'Table G'!$B$15)/(1+'Table G'!$B$18)*IF(ABS(((1+$A238)/(1+'Table G'!$B$18))-1)&lt;0.000000001,10,(1-((1+$A238)/(1+'Table G'!$B$18))^10)/(1-((1+$A238)/(1+'Table G'!$B$18))))+('Table G'!$B$14+'Table G'!$B$15)*(1+$A238)^(10-1)*(1+'Table G'!$B$26)/(('Table G'!$B$18-'Table G'!$B$26)*(1+'Table G'!$B$18)^10),"")</f>
        <v>169125.29821205841</v>
      </c>
      <c r="F238" s="17">
        <f>IFERROR(('Table G'!$B$14+'Table G'!$B$15)/(1+'Table G'!$B$18)*IF(ABS(((1+$A238)/(1+'Table G'!$B$18))-1)&lt;0.000000001,5,(1-((1+$A238)/(1+'Table G'!$B$18))^5)/(1-((1+$A238)/(1+'Table G'!$B$18))))+('Table G'!$B$14+'Table G'!$B$15)*(1+$A238)^(5-1)*(1+'Table G'!$B$27)/(('Table G'!$B$18-'Table G'!$B$27)*(1+'Table G'!$B$18)^5),"")</f>
        <v>121554.77837550284</v>
      </c>
      <c r="G238" s="17">
        <f>IFERROR(('Table G'!$B$14+'Table G'!$B$15)/(1+'Table G'!$B$18)*IF(ABS(((1+$A238)/(1+'Table G'!$B$18))-1)&lt;0.000000001,10,(1-((1+$A238)/(1+'Table G'!$B$18))^10)/(1-((1+$A238)/(1+'Table G'!$B$18))))+('Table G'!$B$14+'Table G'!$B$15)*(1+$A238)^(10-1)*(1+'Table G'!$B$27)/(('Table G'!$B$18-'Table G'!$B$27)*(1+'Table G'!$B$18)^10),"")</f>
        <v>179553.79282436162</v>
      </c>
    </row>
    <row r="239" spans="1:7" x14ac:dyDescent="0.2">
      <c r="A239" s="8">
        <f>-0.1+235*$B$2</f>
        <v>0.13500000000000001</v>
      </c>
      <c r="B239" s="17">
        <f>IFERROR(('Table G'!$B$14+'Table G'!$B$15)/(1+'Table G'!$B$18)*IF(ABS(((1+$A239)/(1+'Table G'!$B$18))-1)&lt;0.000000001,5,(1-((1+$A239)/(1+'Table G'!$B$18))^5)/(1-((1+$A239)/(1+'Table G'!$B$18))))+('Table G'!$B$14+'Table G'!$B$15)*(1+$A239)^(5-1)*(1+'Table G'!$B$25)/(('Table G'!$B$18-'Table G'!$B$25)*(1+'Table G'!$B$18)^5),"")</f>
        <v>106727.32425229438</v>
      </c>
      <c r="C239" s="17">
        <f>IFERROR(('Table G'!$B$14+'Table G'!$B$15)/(1+'Table G'!$B$18)*IF(ABS(((1+$A239)/(1+'Table G'!$B$18))-1)&lt;0.000000001,10,(1-((1+$A239)/(1+'Table G'!$B$18))^10)/(1-((1+$A239)/(1+'Table G'!$B$18))))+('Table G'!$B$14+'Table G'!$B$15)*(1+$A239)^(10-1)*(1+'Table G'!$B$25)/(('Table G'!$B$18-'Table G'!$B$25)*(1+'Table G'!$B$18)^10),"")</f>
        <v>161314.87089396198</v>
      </c>
      <c r="D239" s="17">
        <f>IFERROR(('Table G'!$B$14+'Table G'!$B$15)/(1+'Table G'!$B$18)*IF(ABS(((1+$A239)/(1+'Table G'!$B$18))-1)&lt;0.000000001,5,(1-((1+$A239)/(1+'Table G'!$B$18))^5)/(1-((1+$A239)/(1+'Table G'!$B$18))))+('Table G'!$B$14+'Table G'!$B$15)*(1+$A239)^(5-1)*(1+'Table G'!$B$26)/(('Table G'!$B$18-'Table G'!$B$26)*(1+'Table G'!$B$18)^5),"")</f>
        <v>113725.77402712115</v>
      </c>
      <c r="E239" s="17">
        <f>IFERROR(('Table G'!$B$14+'Table G'!$B$15)/(1+'Table G'!$B$18)*IF(ABS(((1+$A239)/(1+'Table G'!$B$18))-1)&lt;0.000000001,10,(1-((1+$A239)/(1+'Table G'!$B$18))^10)/(1-((1+$A239)/(1+'Table G'!$B$18))))+('Table G'!$B$14+'Table G'!$B$15)*(1+$A239)^(10-1)*(1+'Table G'!$B$26)/(('Table G'!$B$18-'Table G'!$B$26)*(1+'Table G'!$B$18)^10),"")</f>
        <v>170267.87562599214</v>
      </c>
      <c r="F239" s="17">
        <f>IFERROR(('Table G'!$B$14+'Table G'!$B$15)/(1+'Table G'!$B$18)*IF(ABS(((1+$A239)/(1+'Table G'!$B$18))-1)&lt;0.000000001,5,(1-((1+$A239)/(1+'Table G'!$B$18))^5)/(1-((1+$A239)/(1+'Table G'!$B$18))))+('Table G'!$B$14+'Table G'!$B$15)*(1+$A239)^(5-1)*(1+'Table G'!$B$27)/(('Table G'!$B$18-'Table G'!$B$27)*(1+'Table G'!$B$18)^5),"")</f>
        <v>121942.52112342695</v>
      </c>
      <c r="G239" s="17">
        <f>IFERROR(('Table G'!$B$14+'Table G'!$B$15)/(1+'Table G'!$B$18)*IF(ABS(((1+$A239)/(1+'Table G'!$B$18))-1)&lt;0.000000001,10,(1-((1+$A239)/(1+'Table G'!$B$18))^10)/(1-((1+$A239)/(1+'Table G'!$B$18))))+('Table G'!$B$14+'Table G'!$B$15)*(1+$A239)^(10-1)*(1+'Table G'!$B$27)/(('Table G'!$B$18-'Table G'!$B$27)*(1+'Table G'!$B$18)^10),"")</f>
        <v>180779.42861301656</v>
      </c>
    </row>
    <row r="240" spans="1:7" x14ac:dyDescent="0.2">
      <c r="A240" s="8">
        <f>-0.1+236*$B$2</f>
        <v>0.13600000000000001</v>
      </c>
      <c r="B240" s="17">
        <f>IFERROR(('Table G'!$B$14+'Table G'!$B$15)/(1+'Table G'!$B$18)*IF(ABS(((1+$A240)/(1+'Table G'!$B$18))-1)&lt;0.000000001,5,(1-((1+$A240)/(1+'Table G'!$B$18))^5)/(1-((1+$A240)/(1+'Table G'!$B$18))))+('Table G'!$B$14+'Table G'!$B$15)*(1+$A240)^(5-1)*(1+'Table G'!$B$25)/(('Table G'!$B$18-'Table G'!$B$25)*(1+'Table G'!$B$18)^5),"")</f>
        <v>107062.36202223807</v>
      </c>
      <c r="C240" s="17">
        <f>IFERROR(('Table G'!$B$14+'Table G'!$B$15)/(1+'Table G'!$B$18)*IF(ABS(((1+$A240)/(1+'Table G'!$B$18))-1)&lt;0.000000001,10,(1-((1+$A240)/(1+'Table G'!$B$18))^10)/(1-((1+$A240)/(1+'Table G'!$B$18))))+('Table G'!$B$14+'Table G'!$B$15)*(1+$A240)^(10-1)*(1+'Table G'!$B$25)/(('Table G'!$B$18-'Table G'!$B$25)*(1+'Table G'!$B$18)^10),"")</f>
        <v>162393.76127560571</v>
      </c>
      <c r="D240" s="17">
        <f>IFERROR(('Table G'!$B$14+'Table G'!$B$15)/(1+'Table G'!$B$18)*IF(ABS(((1+$A240)/(1+'Table G'!$B$18))-1)&lt;0.000000001,5,(1-((1+$A240)/(1+'Table G'!$B$18))^5)/(1-((1+$A240)/(1+'Table G'!$B$18))))+('Table G'!$B$14+'Table G'!$B$15)*(1+$A240)^(5-1)*(1+'Table G'!$B$26)/(('Table G'!$B$18-'Table G'!$B$26)*(1+'Table G'!$B$18)^5),"")</f>
        <v>114085.50855217046</v>
      </c>
      <c r="E240" s="17">
        <f>IFERROR(('Table G'!$B$14+'Table G'!$B$15)/(1+'Table G'!$B$18)*IF(ABS(((1+$A240)/(1+'Table G'!$B$18))-1)&lt;0.000000001,10,(1-((1+$A240)/(1+'Table G'!$B$18))^10)/(1-((1+$A240)/(1+'Table G'!$B$18))))+('Table G'!$B$14+'Table G'!$B$15)*(1+$A240)^(10-1)*(1+'Table G'!$B$26)/(('Table G'!$B$18-'Table G'!$B$26)*(1+'Table G'!$B$18)^10),"")</f>
        <v>171418.00970728905</v>
      </c>
      <c r="F240" s="17">
        <f>IFERROR(('Table G'!$B$14+'Table G'!$B$15)/(1+'Table G'!$B$18)*IF(ABS(((1+$A240)/(1+'Table G'!$B$18))-1)&lt;0.000000001,5,(1-((1+$A240)/(1+'Table G'!$B$18))^5)/(1-((1+$A240)/(1+'Table G'!$B$18))))+('Table G'!$B$14+'Table G'!$B$15)*(1+$A240)^(5-1)*(1+'Table G'!$B$27)/(('Table G'!$B$18-'Table G'!$B$27)*(1+'Table G'!$B$18)^5),"")</f>
        <v>122331.25164006461</v>
      </c>
      <c r="G240" s="17">
        <f>IFERROR(('Table G'!$B$14+'Table G'!$B$15)/(1+'Table G'!$B$18)*IF(ABS(((1+$A240)/(1+'Table G'!$B$18))-1)&lt;0.000000001,10,(1-((1+$A240)/(1+'Table G'!$B$18))^10)/(1-((1+$A240)/(1+'Table G'!$B$18))))+('Table G'!$B$14+'Table G'!$B$15)*(1+$A240)^(10-1)*(1+'Table G'!$B$27)/(('Table G'!$B$18-'Table G'!$B$27)*(1+'Table G'!$B$18)^10),"")</f>
        <v>182013.20857034181</v>
      </c>
    </row>
    <row r="241" spans="1:7" x14ac:dyDescent="0.2">
      <c r="A241" s="8">
        <f>-0.1+237*$B$2</f>
        <v>0.13700000000000001</v>
      </c>
      <c r="B241" s="17">
        <f>IFERROR(('Table G'!$B$14+'Table G'!$B$15)/(1+'Table G'!$B$18)*IF(ABS(((1+$A241)/(1+'Table G'!$B$18))-1)&lt;0.000000001,5,(1-((1+$A241)/(1+'Table G'!$B$18))^5)/(1-((1+$A241)/(1+'Table G'!$B$18))))+('Table G'!$B$14+'Table G'!$B$15)*(1+$A241)^(5-1)*(1+'Table G'!$B$25)/(('Table G'!$B$18-'Table G'!$B$25)*(1+'Table G'!$B$18)^5),"")</f>
        <v>107398.24728575055</v>
      </c>
      <c r="C241" s="17">
        <f>IFERROR(('Table G'!$B$14+'Table G'!$B$15)/(1+'Table G'!$B$18)*IF(ABS(((1+$A241)/(1+'Table G'!$B$18))-1)&lt;0.000000001,10,(1-((1+$A241)/(1+'Table G'!$B$18))^10)/(1-((1+$A241)/(1+'Table G'!$B$18))))+('Table G'!$B$14+'Table G'!$B$15)*(1+$A241)^(10-1)*(1+'Table G'!$B$25)/(('Table G'!$B$18-'Table G'!$B$25)*(1+'Table G'!$B$18)^10),"")</f>
        <v>163479.74985773247</v>
      </c>
      <c r="D241" s="17">
        <f>IFERROR(('Table G'!$B$14+'Table G'!$B$15)/(1+'Table G'!$B$18)*IF(ABS(((1+$A241)/(1+'Table G'!$B$18))-1)&lt;0.000000001,5,(1-((1+$A241)/(1+'Table G'!$B$18))^5)/(1-((1+$A241)/(1+'Table G'!$B$18))))+('Table G'!$B$14+'Table G'!$B$15)*(1+$A241)^(5-1)*(1+'Table G'!$B$26)/(('Table G'!$B$18-'Table G'!$B$26)*(1+'Table G'!$B$18)^5),"")</f>
        <v>114446.15587728252</v>
      </c>
      <c r="E241" s="17">
        <f>IFERROR(('Table G'!$B$14+'Table G'!$B$15)/(1+'Table G'!$B$18)*IF(ABS(((1+$A241)/(1+'Table G'!$B$18))-1)&lt;0.000000001,10,(1-((1+$A241)/(1+'Table G'!$B$18))^10)/(1-((1+$A241)/(1+'Table G'!$B$18))))+('Table G'!$B$14+'Table G'!$B$15)*(1+$A241)^(10-1)*(1+'Table G'!$B$26)/(('Table G'!$B$18-'Table G'!$B$26)*(1+'Table G'!$B$18)^10),"")</f>
        <v>172575.74547582856</v>
      </c>
      <c r="F241" s="17">
        <f>IFERROR(('Table G'!$B$14+'Table G'!$B$15)/(1+'Table G'!$B$18)*IF(ABS(((1+$A241)/(1+'Table G'!$B$18))-1)&lt;0.000000001,5,(1-((1+$A241)/(1+'Table G'!$B$18))^5)/(1-((1+$A241)/(1+'Table G'!$B$18))))+('Table G'!$B$14+'Table G'!$B$15)*(1+$A241)^(5-1)*(1+'Table G'!$B$27)/(('Table G'!$B$18-'Table G'!$B$27)*(1+'Table G'!$B$18)^5),"")</f>
        <v>122720.9716318805</v>
      </c>
      <c r="G241" s="17">
        <f>IFERROR(('Table G'!$B$14+'Table G'!$B$15)/(1+'Table G'!$B$18)*IF(ABS(((1+$A241)/(1+'Table G'!$B$18))-1)&lt;0.000000001,10,(1-((1+$A241)/(1+'Table G'!$B$18))^10)/(1-((1+$A241)/(1+'Table G'!$B$18))))+('Table G'!$B$14+'Table G'!$B$15)*(1+$A241)^(10-1)*(1+'Table G'!$B$27)/(('Table G'!$B$18-'Table G'!$B$27)*(1+'Table G'!$B$18)^10),"")</f>
        <v>183255.18134916117</v>
      </c>
    </row>
    <row r="242" spans="1:7" x14ac:dyDescent="0.2">
      <c r="A242" s="8">
        <f>-0.1+238*$B$2</f>
        <v>0.13800000000000001</v>
      </c>
      <c r="B242" s="17">
        <f>IFERROR(('Table G'!$B$14+'Table G'!$B$15)/(1+'Table G'!$B$18)*IF(ABS(((1+$A242)/(1+'Table G'!$B$18))-1)&lt;0.000000001,5,(1-((1+$A242)/(1+'Table G'!$B$18))^5)/(1-((1+$A242)/(1+'Table G'!$B$18))))+('Table G'!$B$14+'Table G'!$B$15)*(1+$A242)^(5-1)*(1+'Table G'!$B$25)/(('Table G'!$B$18-'Table G'!$B$25)*(1+'Table G'!$B$18)^5),"")</f>
        <v>107734.98150070355</v>
      </c>
      <c r="C242" s="17">
        <f>IFERROR(('Table G'!$B$14+'Table G'!$B$15)/(1+'Table G'!$B$18)*IF(ABS(((1+$A242)/(1+'Table G'!$B$18))-1)&lt;0.000000001,10,(1-((1+$A242)/(1+'Table G'!$B$18))^10)/(1-((1+$A242)/(1+'Table G'!$B$18))))+('Table G'!$B$14+'Table G'!$B$15)*(1+$A242)^(10-1)*(1+'Table G'!$B$25)/(('Table G'!$B$18-'Table G'!$B$25)*(1+'Table G'!$B$18)^10),"")</f>
        <v>164572.87878234423</v>
      </c>
      <c r="D242" s="17">
        <f>IFERROR(('Table G'!$B$14+'Table G'!$B$15)/(1+'Table G'!$B$18)*IF(ABS(((1+$A242)/(1+'Table G'!$B$18))-1)&lt;0.000000001,5,(1-((1+$A242)/(1+'Table G'!$B$18))^5)/(1-((1+$A242)/(1+'Table G'!$B$18))))+('Table G'!$B$14+'Table G'!$B$15)*(1+$A242)^(5-1)*(1+'Table G'!$B$26)/(('Table G'!$B$18-'Table G'!$B$26)*(1+'Table G'!$B$18)^5),"")</f>
        <v>114807.71757535591</v>
      </c>
      <c r="E242" s="17">
        <f>IFERROR(('Table G'!$B$14+'Table G'!$B$15)/(1+'Table G'!$B$18)*IF(ABS(((1+$A242)/(1+'Table G'!$B$18))-1)&lt;0.000000001,10,(1-((1+$A242)/(1+'Table G'!$B$18))^10)/(1-((1+$A242)/(1+'Table G'!$B$18))))+('Table G'!$B$14+'Table G'!$B$15)*(1+$A242)^(10-1)*(1+'Table G'!$B$26)/(('Table G'!$B$18-'Table G'!$B$26)*(1+'Table G'!$B$18)^10),"")</f>
        <v>173741.12818428662</v>
      </c>
      <c r="F242" s="17">
        <f>IFERROR(('Table G'!$B$14+'Table G'!$B$15)/(1+'Table G'!$B$18)*IF(ABS(((1+$A242)/(1+'Table G'!$B$18))-1)&lt;0.000000001,5,(1-((1+$A242)/(1+'Table G'!$B$18))^5)/(1-((1+$A242)/(1+'Table G'!$B$18))))+('Table G'!$B$14+'Table G'!$B$15)*(1+$A242)^(5-1)*(1+'Table G'!$B$27)/(('Table G'!$B$18-'Table G'!$B$27)*(1+'Table G'!$B$18)^5),"")</f>
        <v>123111.68280682398</v>
      </c>
      <c r="G242" s="17">
        <f>IFERROR(('Table G'!$B$14+'Table G'!$B$15)/(1+'Table G'!$B$18)*IF(ABS(((1+$A242)/(1+'Table G'!$B$18))-1)&lt;0.000000001,10,(1-((1+$A242)/(1+'Table G'!$B$18))^10)/(1-((1+$A242)/(1+'Table G'!$B$18))))+('Table G'!$B$14+'Table G'!$B$15)*(1+$A242)^(10-1)*(1+'Table G'!$B$27)/(('Table G'!$B$18-'Table G'!$B$27)*(1+'Table G'!$B$18)^10),"")</f>
        <v>184505.39585433394</v>
      </c>
    </row>
    <row r="243" spans="1:7" x14ac:dyDescent="0.2">
      <c r="A243" s="8">
        <f>-0.1+239*$B$2</f>
        <v>0.13900000000000001</v>
      </c>
      <c r="B243" s="17">
        <f>IFERROR(('Table G'!$B$14+'Table G'!$B$15)/(1+'Table G'!$B$18)*IF(ABS(((1+$A243)/(1+'Table G'!$B$18))-1)&lt;0.000000001,5,(1-((1+$A243)/(1+'Table G'!$B$18))^5)/(1-((1+$A243)/(1+'Table G'!$B$18))))+('Table G'!$B$14+'Table G'!$B$15)*(1+$A243)^(5-1)*(1+'Table G'!$B$25)/(('Table G'!$B$18-'Table G'!$B$25)*(1+'Table G'!$B$18)^5),"")</f>
        <v>108072.56612623256</v>
      </c>
      <c r="C243" s="17">
        <f>IFERROR(('Table G'!$B$14+'Table G'!$B$15)/(1+'Table G'!$B$18)*IF(ABS(((1+$A243)/(1+'Table G'!$B$18))-1)&lt;0.000000001,10,(1-((1+$A243)/(1+'Table G'!$B$18))^10)/(1-((1+$A243)/(1+'Table G'!$B$18))))+('Table G'!$B$14+'Table G'!$B$15)*(1+$A243)^(10-1)*(1+'Table G'!$B$25)/(('Table G'!$B$18-'Table G'!$B$25)*(1+'Table G'!$B$18)^10),"")</f>
        <v>165673.19040878827</v>
      </c>
      <c r="D243" s="17">
        <f>IFERROR(('Table G'!$B$14+'Table G'!$B$15)/(1+'Table G'!$B$18)*IF(ABS(((1+$A243)/(1+'Table G'!$B$18))-1)&lt;0.000000001,5,(1-((1+$A243)/(1+'Table G'!$B$18))^5)/(1-((1+$A243)/(1+'Table G'!$B$18))))+('Table G'!$B$14+'Table G'!$B$15)*(1+$A243)^(5-1)*(1+'Table G'!$B$26)/(('Table G'!$B$18-'Table G'!$B$26)*(1+'Table G'!$B$18)^5),"")</f>
        <v>115170.19522065407</v>
      </c>
      <c r="E243" s="17">
        <f>IFERROR(('Table G'!$B$14+'Table G'!$B$15)/(1+'Table G'!$B$18)*IF(ABS(((1+$A243)/(1+'Table G'!$B$18))-1)&lt;0.000000001,10,(1-((1+$A243)/(1+'Table G'!$B$18))^10)/(1-((1+$A243)/(1+'Table G'!$B$18))))+('Table G'!$B$14+'Table G'!$B$15)*(1+$A243)^(10-1)*(1+'Table G'!$B$26)/(('Table G'!$B$18-'Table G'!$B$26)*(1+'Table G'!$B$18)^10),"")</f>
        <v>174914.2033191431</v>
      </c>
      <c r="F243" s="17">
        <f>IFERROR(('Table G'!$B$14+'Table G'!$B$15)/(1+'Table G'!$B$18)*IF(ABS(((1+$A243)/(1+'Table G'!$B$18))-1)&lt;0.000000001,5,(1-((1+$A243)/(1+'Table G'!$B$18))^5)/(1-((1+$A243)/(1+'Table G'!$B$18))))+('Table G'!$B$14+'Table G'!$B$15)*(1+$A243)^(5-1)*(1+'Table G'!$B$27)/(('Table G'!$B$18-'Table G'!$B$27)*(1+'Table G'!$B$18)^5),"")</f>
        <v>123503.38687432816</v>
      </c>
      <c r="G243" s="17">
        <f>IFERROR(('Table G'!$B$14+'Table G'!$B$15)/(1+'Table G'!$B$18)*IF(ABS(((1+$A243)/(1+'Table G'!$B$18))-1)&lt;0.000000001,10,(1-((1+$A243)/(1+'Table G'!$B$18))^10)/(1-((1+$A243)/(1+'Table G'!$B$18))))+('Table G'!$B$14+'Table G'!$B$15)*(1+$A243)^(10-1)*(1+'Table G'!$B$27)/(('Table G'!$B$18-'Table G'!$B$27)*(1+'Table G'!$B$18)^10),"")</f>
        <v>185763.90124384701</v>
      </c>
    </row>
    <row r="244" spans="1:7" x14ac:dyDescent="0.2">
      <c r="A244" s="8">
        <f>-0.1+240*$B$2</f>
        <v>0.13999999999999999</v>
      </c>
      <c r="B244" s="17">
        <f>IFERROR(('Table G'!$B$14+'Table G'!$B$15)/(1+'Table G'!$B$18)*IF(ABS(((1+$A244)/(1+'Table G'!$B$18))-1)&lt;0.000000001,5,(1-((1+$A244)/(1+'Table G'!$B$18))^5)/(1-((1+$A244)/(1+'Table G'!$B$18))))+('Table G'!$B$14+'Table G'!$B$15)*(1+$A244)^(5-1)*(1+'Table G'!$B$25)/(('Table G'!$B$18-'Table G'!$B$25)*(1+'Table G'!$B$18)^5),"")</f>
        <v>108411.00262273695</v>
      </c>
      <c r="C244" s="17">
        <f>IFERROR(('Table G'!$B$14+'Table G'!$B$15)/(1+'Table G'!$B$18)*IF(ABS(((1+$A244)/(1+'Table G'!$B$18))-1)&lt;0.000000001,10,(1-((1+$A244)/(1+'Table G'!$B$18))^10)/(1-((1+$A244)/(1+'Table G'!$B$18))))+('Table G'!$B$14+'Table G'!$B$15)*(1+$A244)^(10-1)*(1+'Table G'!$B$25)/(('Table G'!$B$18-'Table G'!$B$25)*(1+'Table G'!$B$18)^10),"")</f>
        <v>166780.72731469804</v>
      </c>
      <c r="D244" s="17">
        <f>IFERROR(('Table G'!$B$14+'Table G'!$B$15)/(1+'Table G'!$B$18)*IF(ABS(((1+$A244)/(1+'Table G'!$B$18))-1)&lt;0.000000001,5,(1-((1+$A244)/(1+'Table G'!$B$18))^5)/(1-((1+$A244)/(1+'Table G'!$B$18))))+('Table G'!$B$14+'Table G'!$B$15)*(1+$A244)^(5-1)*(1+'Table G'!$B$26)/(('Table G'!$B$18-'Table G'!$B$26)*(1+'Table G'!$B$18)^5),"")</f>
        <v>115533.59038880572</v>
      </c>
      <c r="E244" s="17">
        <f>IFERROR(('Table G'!$B$14+'Table G'!$B$15)/(1+'Table G'!$B$18)*IF(ABS(((1+$A244)/(1+'Table G'!$B$18))-1)&lt;0.000000001,10,(1-((1+$A244)/(1+'Table G'!$B$18))^10)/(1-((1+$A244)/(1+'Table G'!$B$18))))+('Table G'!$B$14+'Table G'!$B$15)*(1+$A244)^(10-1)*(1+'Table G'!$B$26)/(('Table G'!$B$18-'Table G'!$B$26)*(1+'Table G'!$B$18)^10),"")</f>
        <v>176095.01660169498</v>
      </c>
      <c r="F244" s="17">
        <f>IFERROR(('Table G'!$B$14+'Table G'!$B$15)/(1+'Table G'!$B$18)*IF(ABS(((1+$A244)/(1+'Table G'!$B$18))-1)&lt;0.000000001,5,(1-((1+$A244)/(1+'Table G'!$B$18))^5)/(1-((1+$A244)/(1+'Table G'!$B$18))))+('Table G'!$B$14+'Table G'!$B$15)*(1+$A244)^(5-1)*(1+'Table G'!$B$27)/(('Table G'!$B$18-'Table G'!$B$27)*(1+'Table G'!$B$18)^5),"")</f>
        <v>123896.0855453102</v>
      </c>
      <c r="G244" s="17">
        <f>IFERROR(('Table G'!$B$14+'Table G'!$B$15)/(1+'Table G'!$B$18)*IF(ABS(((1+$A244)/(1+'Table G'!$B$18))-1)&lt;0.000000001,10,(1-((1+$A244)/(1+'Table G'!$B$18))^10)/(1-((1+$A244)/(1+'Table G'!$B$18))))+('Table G'!$B$14+'Table G'!$B$15)*(1+$A244)^(10-1)*(1+'Table G'!$B$27)/(('Table G'!$B$18-'Table G'!$B$27)*(1+'Table G'!$B$18)^10),"")</f>
        <v>187030.74692991306</v>
      </c>
    </row>
    <row r="245" spans="1:7" x14ac:dyDescent="0.2">
      <c r="A245" s="8">
        <f>-0.1+241*$B$2</f>
        <v>0.14099999999999999</v>
      </c>
      <c r="B245" s="17">
        <f>IFERROR(('Table G'!$B$14+'Table G'!$B$15)/(1+'Table G'!$B$18)*IF(ABS(((1+$A245)/(1+'Table G'!$B$18))-1)&lt;0.000000001,5,(1-((1+$A245)/(1+'Table G'!$B$18))^5)/(1-((1+$A245)/(1+'Table G'!$B$18))))+('Table G'!$B$14+'Table G'!$B$15)*(1+$A245)^(5-1)*(1+'Table G'!$B$25)/(('Table G'!$B$18-'Table G'!$B$25)*(1+'Table G'!$B$18)^5),"")</f>
        <v>108750.29245188052</v>
      </c>
      <c r="C245" s="17">
        <f>IFERROR(('Table G'!$B$14+'Table G'!$B$15)/(1+'Table G'!$B$18)*IF(ABS(((1+$A245)/(1+'Table G'!$B$18))-1)&lt;0.000000001,10,(1-((1+$A245)/(1+'Table G'!$B$18))^10)/(1-((1+$A245)/(1+'Table G'!$B$18))))+('Table G'!$B$14+'Table G'!$B$15)*(1+$A245)^(10-1)*(1+'Table G'!$B$25)/(('Table G'!$B$18-'Table G'!$B$25)*(1+'Table G'!$B$18)^10),"")</f>
        <v>167895.53229693841</v>
      </c>
      <c r="D245" s="17">
        <f>IFERROR(('Table G'!$B$14+'Table G'!$B$15)/(1+'Table G'!$B$18)*IF(ABS(((1+$A245)/(1+'Table G'!$B$18))-1)&lt;0.000000001,5,(1-((1+$A245)/(1+'Table G'!$B$18))^5)/(1-((1+$A245)/(1+'Table G'!$B$18))))+('Table G'!$B$14+'Table G'!$B$15)*(1+$A245)^(5-1)*(1+'Table G'!$B$26)/(('Table G'!$B$18-'Table G'!$B$26)*(1+'Table G'!$B$18)^5),"")</f>
        <v>115897.90465680498</v>
      </c>
      <c r="E245" s="17">
        <f>IFERROR(('Table G'!$B$14+'Table G'!$B$15)/(1+'Table G'!$B$18)*IF(ABS(((1+$A245)/(1+'Table G'!$B$18))-1)&lt;0.000000001,10,(1-((1+$A245)/(1+'Table G'!$B$18))^10)/(1-((1+$A245)/(1+'Table G'!$B$18))))+('Table G'!$B$14+'Table G'!$B$15)*(1+$A245)^(10-1)*(1+'Table G'!$B$26)/(('Table G'!$B$18-'Table G'!$B$26)*(1+'Table G'!$B$18)^10),"")</f>
        <v>177283.61398907445</v>
      </c>
      <c r="F245" s="17">
        <f>IFERROR(('Table G'!$B$14+'Table G'!$B$15)/(1+'Table G'!$B$18)*IF(ABS(((1+$A245)/(1+'Table G'!$B$18))-1)&lt;0.000000001,5,(1-((1+$A245)/(1+'Table G'!$B$18))^5)/(1-((1+$A245)/(1+'Table G'!$B$18))))+('Table G'!$B$14+'Table G'!$B$15)*(1+$A245)^(5-1)*(1+'Table G'!$B$27)/(('Table G'!$B$18-'Table G'!$B$27)*(1+'Table G'!$B$18)^5),"")</f>
        <v>124289.78053217154</v>
      </c>
      <c r="G245" s="17">
        <f>IFERROR(('Table G'!$B$14+'Table G'!$B$15)/(1+'Table G'!$B$18)*IF(ABS(((1+$A245)/(1+'Table G'!$B$18))-1)&lt;0.000000001,10,(1-((1+$A245)/(1+'Table G'!$B$18))^10)/(1-((1+$A245)/(1+'Table G'!$B$18))))+('Table G'!$B$14+'Table G'!$B$15)*(1+$A245)^(10-1)*(1+'Table G'!$B$27)/(('Table G'!$B$18-'Table G'!$B$27)*(1+'Table G'!$B$18)^10),"")</f>
        <v>188305.98258007431</v>
      </c>
    </row>
    <row r="246" spans="1:7" x14ac:dyDescent="0.2">
      <c r="A246" s="8">
        <f>-0.1+242*$B$2</f>
        <v>0.14199999999999999</v>
      </c>
      <c r="B246" s="17">
        <f>IFERROR(('Table G'!$B$14+'Table G'!$B$15)/(1+'Table G'!$B$18)*IF(ABS(((1+$A246)/(1+'Table G'!$B$18))-1)&lt;0.000000001,5,(1-((1+$A246)/(1+'Table G'!$B$18))^5)/(1-((1+$A246)/(1+'Table G'!$B$18))))+('Table G'!$B$14+'Table G'!$B$15)*(1+$A246)^(5-1)*(1+'Table G'!$B$25)/(('Table G'!$B$18-'Table G'!$B$25)*(1+'Table G'!$B$18)^5),"")</f>
        <v>109090.43707659061</v>
      </c>
      <c r="C246" s="17">
        <f>IFERROR(('Table G'!$B$14+'Table G'!$B$15)/(1+'Table G'!$B$18)*IF(ABS(((1+$A246)/(1+'Table G'!$B$18))-1)&lt;0.000000001,10,(1-((1+$A246)/(1+'Table G'!$B$18))^10)/(1-((1+$A246)/(1+'Table G'!$B$18))))+('Table G'!$B$14+'Table G'!$B$15)*(1+$A246)^(10-1)*(1+'Table G'!$B$25)/(('Table G'!$B$18-'Table G'!$B$25)*(1+'Table G'!$B$18)^10),"")</f>
        <v>169017.64837255032</v>
      </c>
      <c r="D246" s="17">
        <f>IFERROR(('Table G'!$B$14+'Table G'!$B$15)/(1+'Table G'!$B$18)*IF(ABS(((1+$A246)/(1+'Table G'!$B$18))-1)&lt;0.000000001,5,(1-((1+$A246)/(1+'Table G'!$B$18))^5)/(1-((1+$A246)/(1+'Table G'!$B$18))))+('Table G'!$B$14+'Table G'!$B$15)*(1+$A246)^(5-1)*(1+'Table G'!$B$26)/(('Table G'!$B$18-'Table G'!$B$26)*(1+'Table G'!$B$18)^5),"")</f>
        <v>116263.13960301096</v>
      </c>
      <c r="E246" s="17">
        <f>IFERROR(('Table G'!$B$14+'Table G'!$B$15)/(1+'Table G'!$B$18)*IF(ABS(((1+$A246)/(1+'Table G'!$B$18))-1)&lt;0.000000001,10,(1-((1+$A246)/(1+'Table G'!$B$18))^10)/(1-((1+$A246)/(1+'Table G'!$B$18))))+('Table G'!$B$14+'Table G'!$B$15)*(1+$A246)^(10-1)*(1+'Table G'!$B$26)/(('Table G'!$B$18-'Table G'!$B$26)*(1+'Table G'!$B$18)^10),"")</f>
        <v>178480.04167526675</v>
      </c>
      <c r="F246" s="17">
        <f>IFERROR(('Table G'!$B$14+'Table G'!$B$15)/(1+'Table G'!$B$18)*IF(ABS(((1+$A246)/(1+'Table G'!$B$18))-1)&lt;0.000000001,5,(1-((1+$A246)/(1+'Table G'!$B$18))^5)/(1-((1+$A246)/(1+'Table G'!$B$18))))+('Table G'!$B$14+'Table G'!$B$15)*(1+$A246)^(5-1)*(1+'Table G'!$B$27)/(('Table G'!$B$18-'Table G'!$B$27)*(1+'Table G'!$B$18)^5),"")</f>
        <v>124684.47354879731</v>
      </c>
      <c r="G246" s="17">
        <f>IFERROR(('Table G'!$B$14+'Table G'!$B$15)/(1+'Table G'!$B$18)*IF(ABS(((1+$A246)/(1+'Table G'!$B$18))-1)&lt;0.000000001,10,(1-((1+$A246)/(1+'Table G'!$B$18))^10)/(1-((1+$A246)/(1+'Table G'!$B$18))))+('Table G'!$B$14+'Table G'!$B$15)*(1+$A246)^(10-1)*(1+'Table G'!$B$27)/(('Table G'!$B$18-'Table G'!$B$27)*(1+'Table G'!$B$18)^10),"")</f>
        <v>189589.65811830584</v>
      </c>
    </row>
    <row r="247" spans="1:7" x14ac:dyDescent="0.2">
      <c r="A247" s="8">
        <f>-0.1+243*$B$2</f>
        <v>0.14299999999999999</v>
      </c>
      <c r="B247" s="17">
        <f>IFERROR(('Table G'!$B$14+'Table G'!$B$15)/(1+'Table G'!$B$18)*IF(ABS(((1+$A247)/(1+'Table G'!$B$18))-1)&lt;0.000000001,5,(1-((1+$A247)/(1+'Table G'!$B$18))^5)/(1-((1+$A247)/(1+'Table G'!$B$18))))+('Table G'!$B$14+'Table G'!$B$15)*(1+$A247)^(5-1)*(1+'Table G'!$B$25)/(('Table G'!$B$18-'Table G'!$B$25)*(1+'Table G'!$B$18)^5),"")</f>
        <v>109431.43796105901</v>
      </c>
      <c r="C247" s="17">
        <f>IFERROR(('Table G'!$B$14+'Table G'!$B$15)/(1+'Table G'!$B$18)*IF(ABS(((1+$A247)/(1+'Table G'!$B$18))-1)&lt;0.000000001,10,(1-((1+$A247)/(1+'Table G'!$B$18))^10)/(1-((1+$A247)/(1+'Table G'!$B$18))))+('Table G'!$B$14+'Table G'!$B$15)*(1+$A247)^(10-1)*(1+'Table G'!$B$25)/(('Table G'!$B$18-'Table G'!$B$25)*(1+'Table G'!$B$18)^10),"")</f>
        <v>170147.11877970403</v>
      </c>
      <c r="D247" s="17">
        <f>IFERROR(('Table G'!$B$14+'Table G'!$B$15)/(1+'Table G'!$B$18)*IF(ABS(((1+$A247)/(1+'Table G'!$B$18))-1)&lt;0.000000001,5,(1-((1+$A247)/(1+'Table G'!$B$18))^5)/(1-((1+$A247)/(1+'Table G'!$B$18))))+('Table G'!$B$14+'Table G'!$B$15)*(1+$A247)^(5-1)*(1+'Table G'!$B$26)/(('Table G'!$B$18-'Table G'!$B$26)*(1+'Table G'!$B$18)^5),"")</f>
        <v>116629.29680714822</v>
      </c>
      <c r="E247" s="17">
        <f>IFERROR(('Table G'!$B$14+'Table G'!$B$15)/(1+'Table G'!$B$18)*IF(ABS(((1+$A247)/(1+'Table G'!$B$18))-1)&lt;0.000000001,10,(1-((1+$A247)/(1+'Table G'!$B$18))^10)/(1-((1+$A247)/(1+'Table G'!$B$18))))+('Table G'!$B$14+'Table G'!$B$15)*(1+$A247)^(10-1)*(1+'Table G'!$B$26)/(('Table G'!$B$18-'Table G'!$B$26)*(1+'Table G'!$B$18)^10),"")</f>
        <v>179684.34609213634</v>
      </c>
      <c r="F247" s="17">
        <f>IFERROR(('Table G'!$B$14+'Table G'!$B$15)/(1+'Table G'!$B$18)*IF(ABS(((1+$A247)/(1+'Table G'!$B$18))-1)&lt;0.000000001,5,(1-((1+$A247)/(1+'Table G'!$B$18))^5)/(1-((1+$A247)/(1+'Table G'!$B$18))))+('Table G'!$B$14+'Table G'!$B$15)*(1+$A247)^(5-1)*(1+'Table G'!$B$27)/(('Table G'!$B$18-'Table G'!$B$27)*(1+'Table G'!$B$18)^5),"")</f>
        <v>125080.16631055715</v>
      </c>
      <c r="G247" s="17">
        <f>IFERROR(('Table G'!$B$14+'Table G'!$B$15)/(1+'Table G'!$B$18)*IF(ABS(((1+$A247)/(1+'Table G'!$B$18))-1)&lt;0.000000001,10,(1-((1+$A247)/(1+'Table G'!$B$18))^10)/(1-((1+$A247)/(1+'Table G'!$B$18))))+('Table G'!$B$14+'Table G'!$B$15)*(1+$A247)^(10-1)*(1+'Table G'!$B$27)/(('Table G'!$B$18-'Table G'!$B$27)*(1+'Table G'!$B$18)^10),"")</f>
        <v>190881.82372612803</v>
      </c>
    </row>
    <row r="248" spans="1:7" x14ac:dyDescent="0.2">
      <c r="A248" s="8">
        <f>-0.1+244*$B$2</f>
        <v>0.14399999999999999</v>
      </c>
      <c r="B248" s="17">
        <f>IFERROR(('Table G'!$B$14+'Table G'!$B$15)/(1+'Table G'!$B$18)*IF(ABS(((1+$A248)/(1+'Table G'!$B$18))-1)&lt;0.000000001,5,(1-((1+$A248)/(1+'Table G'!$B$18))^5)/(1-((1+$A248)/(1+'Table G'!$B$18))))+('Table G'!$B$14+'Table G'!$B$15)*(1+$A248)^(5-1)*(1+'Table G'!$B$25)/(('Table G'!$B$18-'Table G'!$B$25)*(1+'Table G'!$B$18)^5),"")</f>
        <v>109773.29657074108</v>
      </c>
      <c r="C248" s="17">
        <f>IFERROR(('Table G'!$B$14+'Table G'!$B$15)/(1+'Table G'!$B$18)*IF(ABS(((1+$A248)/(1+'Table G'!$B$18))-1)&lt;0.000000001,10,(1-((1+$A248)/(1+'Table G'!$B$18))^10)/(1-((1+$A248)/(1+'Table G'!$B$18))))+('Table G'!$B$14+'Table G'!$B$15)*(1+$A248)^(10-1)*(1+'Table G'!$B$25)/(('Table G'!$B$18-'Table G'!$B$25)*(1+'Table G'!$B$18)^10),"")</f>
        <v>171283.98697864971</v>
      </c>
      <c r="D248" s="17">
        <f>IFERROR(('Table G'!$B$14+'Table G'!$B$15)/(1+'Table G'!$B$18)*IF(ABS(((1+$A248)/(1+'Table G'!$B$18))-1)&lt;0.000000001,5,(1-((1+$A248)/(1+'Table G'!$B$18))^5)/(1-((1+$A248)/(1+'Table G'!$B$18))))+('Table G'!$B$14+'Table G'!$B$15)*(1+$A248)^(5-1)*(1+'Table G'!$B$26)/(('Table G'!$B$18-'Table G'!$B$26)*(1+'Table G'!$B$18)^5),"")</f>
        <v>116996.37785030628</v>
      </c>
      <c r="E248" s="17">
        <f>IFERROR(('Table G'!$B$14+'Table G'!$B$15)/(1+'Table G'!$B$18)*IF(ABS(((1+$A248)/(1+'Table G'!$B$18))-1)&lt;0.000000001,10,(1-((1+$A248)/(1+'Table G'!$B$18))^10)/(1-((1+$A248)/(1+'Table G'!$B$18))))+('Table G'!$B$14+'Table G'!$B$15)*(1+$A248)^(10-1)*(1+'Table G'!$B$26)/(('Table G'!$B$18-'Table G'!$B$26)*(1+'Table G'!$B$18)^10),"")</f>
        <v>180896.57391045138</v>
      </c>
      <c r="F248" s="17">
        <f>IFERROR(('Table G'!$B$14+'Table G'!$B$15)/(1+'Table G'!$B$18)*IF(ABS(((1+$A248)/(1+'Table G'!$B$18))-1)&lt;0.000000001,5,(1-((1+$A248)/(1+'Table G'!$B$18))^5)/(1-((1+$A248)/(1+'Table G'!$B$18))))+('Table G'!$B$14+'Table G'!$B$15)*(1+$A248)^(5-1)*(1+'Table G'!$B$27)/(('Table G'!$B$18-'Table G'!$B$27)*(1+'Table G'!$B$18)^5),"")</f>
        <v>125476.8605343043</v>
      </c>
      <c r="G248" s="17">
        <f>IFERROR(('Table G'!$B$14+'Table G'!$B$15)/(1+'Table G'!$B$18)*IF(ABS(((1+$A248)/(1+'Table G'!$B$18))-1)&lt;0.000000001,10,(1-((1+$A248)/(1+'Table G'!$B$18))^10)/(1-((1+$A248)/(1+'Table G'!$B$18))))+('Table G'!$B$14+'Table G'!$B$15)*(1+$A248)^(10-1)*(1+'Table G'!$B$27)/(('Table G'!$B$18-'Table G'!$B$27)*(1+'Table G'!$B$18)^10),"")</f>
        <v>192182.52984371706</v>
      </c>
    </row>
    <row r="249" spans="1:7" x14ac:dyDescent="0.2">
      <c r="A249" s="8">
        <f>-0.1+245*$B$2</f>
        <v>0.14499999999999999</v>
      </c>
      <c r="B249" s="17">
        <f>IFERROR(('Table G'!$B$14+'Table G'!$B$15)/(1+'Table G'!$B$18)*IF(ABS(((1+$A249)/(1+'Table G'!$B$18))-1)&lt;0.000000001,5,(1-((1+$A249)/(1+'Table G'!$B$18))^5)/(1-((1+$A249)/(1+'Table G'!$B$18))))+('Table G'!$B$14+'Table G'!$B$15)*(1+$A249)^(5-1)*(1+'Table G'!$B$25)/(('Table G'!$B$18-'Table G'!$B$25)*(1+'Table G'!$B$18)^5),"")</f>
        <v>110116.01437235676</v>
      </c>
      <c r="C249" s="17">
        <f>IFERROR(('Table G'!$B$14+'Table G'!$B$15)/(1+'Table G'!$B$18)*IF(ABS(((1+$A249)/(1+'Table G'!$B$18))-1)&lt;0.000000001,10,(1-((1+$A249)/(1+'Table G'!$B$18))^10)/(1-((1+$A249)/(1+'Table G'!$B$18))))+('Table G'!$B$14+'Table G'!$B$15)*(1+$A249)^(10-1)*(1+'Table G'!$B$25)/(('Table G'!$B$18-'Table G'!$B$25)*(1+'Table G'!$B$18)^10),"")</f>
        <v>172428.29665267753</v>
      </c>
      <c r="D249" s="17">
        <f>IFERROR(('Table G'!$B$14+'Table G'!$B$15)/(1+'Table G'!$B$18)*IF(ABS(((1+$A249)/(1+'Table G'!$B$18))-1)&lt;0.000000001,5,(1-((1+$A249)/(1+'Table G'!$B$18))^5)/(1-((1+$A249)/(1+'Table G'!$B$18))))+('Table G'!$B$14+'Table G'!$B$15)*(1+$A249)^(5-1)*(1+'Table G'!$B$26)/(('Table G'!$B$18-'Table G'!$B$26)*(1+'Table G'!$B$18)^5),"")</f>
        <v>117364.38431494034</v>
      </c>
      <c r="E249" s="17">
        <f>IFERROR(('Table G'!$B$14+'Table G'!$B$15)/(1+'Table G'!$B$18)*IF(ABS(((1+$A249)/(1+'Table G'!$B$18))-1)&lt;0.000000001,10,(1-((1+$A249)/(1+'Table G'!$B$18))^10)/(1-((1+$A249)/(1+'Table G'!$B$18))))+('Table G'!$B$14+'Table G'!$B$15)*(1+$A249)^(10-1)*(1+'Table G'!$B$26)/(('Table G'!$B$18-'Table G'!$B$26)*(1+'Table G'!$B$18)^10),"")</f>
        <v>182116.77204091728</v>
      </c>
      <c r="F249" s="17">
        <f>IFERROR(('Table G'!$B$14+'Table G'!$B$15)/(1+'Table G'!$B$18)*IF(ABS(((1+$A249)/(1+'Table G'!$B$18))-1)&lt;0.000000001,5,(1-((1+$A249)/(1+'Table G'!$B$18))^5)/(1-((1+$A249)/(1+'Table G'!$B$18))))+('Table G'!$B$14+'Table G'!$B$15)*(1+$A249)^(5-1)*(1+'Table G'!$B$27)/(('Table G'!$B$18-'Table G'!$B$27)*(1+'Table G'!$B$18)^5),"")</f>
        <v>125874.55793837656</v>
      </c>
      <c r="G249" s="17">
        <f>IFERROR(('Table G'!$B$14+'Table G'!$B$15)/(1+'Table G'!$B$18)*IF(ABS(((1+$A249)/(1+'Table G'!$B$18))-1)&lt;0.000000001,10,(1-((1+$A249)/(1+'Table G'!$B$18))^10)/(1-((1+$A249)/(1+'Table G'!$B$18))))+('Table G'!$B$14+'Table G'!$B$15)*(1+$A249)^(10-1)*(1+'Table G'!$B$27)/(('Table G'!$B$18-'Table G'!$B$27)*(1+'Table G'!$B$18)^10),"")</f>
        <v>193491.82717102571</v>
      </c>
    </row>
    <row r="250" spans="1:7" x14ac:dyDescent="0.2">
      <c r="A250" s="8">
        <f>-0.1+246*$B$2</f>
        <v>0.14599999999999999</v>
      </c>
      <c r="B250" s="17">
        <f>IFERROR(('Table G'!$B$14+'Table G'!$B$15)/(1+'Table G'!$B$18)*IF(ABS(((1+$A250)/(1+'Table G'!$B$18))-1)&lt;0.000000001,5,(1-((1+$A250)/(1+'Table G'!$B$18))^5)/(1-((1+$A250)/(1+'Table G'!$B$18))))+('Table G'!$B$14+'Table G'!$B$15)*(1+$A250)^(5-1)*(1+'Table G'!$B$25)/(('Table G'!$B$18-'Table G'!$B$25)*(1+'Table G'!$B$18)^5),"")</f>
        <v>110459.59283388939</v>
      </c>
      <c r="C250" s="17">
        <f>IFERROR(('Table G'!$B$14+'Table G'!$B$15)/(1+'Table G'!$B$18)*IF(ABS(((1+$A250)/(1+'Table G'!$B$18))-1)&lt;0.000000001,10,(1-((1+$A250)/(1+'Table G'!$B$18))^10)/(1-((1+$A250)/(1+'Table G'!$B$18))))+('Table G'!$B$14+'Table G'!$B$15)*(1+$A250)^(10-1)*(1+'Table G'!$B$25)/(('Table G'!$B$18-'Table G'!$B$25)*(1+'Table G'!$B$18)^10),"")</f>
        <v>173580.09170907462</v>
      </c>
      <c r="D250" s="17">
        <f>IFERROR(('Table G'!$B$14+'Table G'!$B$15)/(1+'Table G'!$B$18)*IF(ABS(((1+$A250)/(1+'Table G'!$B$18))-1)&lt;0.000000001,5,(1-((1+$A250)/(1+'Table G'!$B$18))^5)/(1-((1+$A250)/(1+'Table G'!$B$18))))+('Table G'!$B$14+'Table G'!$B$15)*(1+$A250)^(5-1)*(1+'Table G'!$B$26)/(('Table G'!$B$18-'Table G'!$B$26)*(1+'Table G'!$B$18)^5),"")</f>
        <v>117733.31778487025</v>
      </c>
      <c r="E250" s="17">
        <f>IFERROR(('Table G'!$B$14+'Table G'!$B$15)/(1+'Table G'!$B$18)*IF(ABS(((1+$A250)/(1+'Table G'!$B$18))-1)&lt;0.000000001,10,(1-((1+$A250)/(1+'Table G'!$B$18))^10)/(1-((1+$A250)/(1+'Table G'!$B$18))))+('Table G'!$B$14+'Table G'!$B$15)*(1+$A250)^(10-1)*(1+'Table G'!$B$26)/(('Table G'!$B$18-'Table G'!$B$26)*(1+'Table G'!$B$18)^10),"")</f>
        <v>183344.98763520797</v>
      </c>
      <c r="F250" s="17">
        <f>IFERROR(('Table G'!$B$14+'Table G'!$B$15)/(1+'Table G'!$B$18)*IF(ABS(((1+$A250)/(1+'Table G'!$B$18))-1)&lt;0.000000001,5,(1-((1+$A250)/(1+'Table G'!$B$18))^5)/(1-((1+$A250)/(1+'Table G'!$B$18))))+('Table G'!$B$14+'Table G'!$B$15)*(1+$A250)^(5-1)*(1+'Table G'!$B$27)/(('Table G'!$B$18-'Table G'!$B$27)*(1+'Table G'!$B$18)^5),"")</f>
        <v>126273.26024259522</v>
      </c>
      <c r="G250" s="17">
        <f>IFERROR(('Table G'!$B$14+'Table G'!$B$15)/(1+'Table G'!$B$18)*IF(ABS(((1+$A250)/(1+'Table G'!$B$18))-1)&lt;0.000000001,10,(1-((1+$A250)/(1+'Table G'!$B$18))^10)/(1-((1+$A250)/(1+'Table G'!$B$18))))+('Table G'!$B$14+'Table G'!$B$15)*(1+$A250)^(10-1)*(1+'Table G'!$B$27)/(('Table G'!$B$18-'Table G'!$B$27)*(1+'Table G'!$B$18)^10),"")</f>
        <v>194809.76666890059</v>
      </c>
    </row>
    <row r="251" spans="1:7" x14ac:dyDescent="0.2">
      <c r="A251" s="8">
        <f>-0.1+247*$B$2</f>
        <v>0.14699999999999999</v>
      </c>
      <c r="B251" s="17">
        <f>IFERROR(('Table G'!$B$14+'Table G'!$B$15)/(1+'Table G'!$B$18)*IF(ABS(((1+$A251)/(1+'Table G'!$B$18))-1)&lt;0.000000001,5,(1-((1+$A251)/(1+'Table G'!$B$18))^5)/(1-((1+$A251)/(1+'Table G'!$B$18))))+('Table G'!$B$14+'Table G'!$B$15)*(1+$A251)^(5-1)*(1+'Table G'!$B$25)/(('Table G'!$B$18-'Table G'!$B$25)*(1+'Table G'!$B$18)^5),"")</f>
        <v>110804.03342458686</v>
      </c>
      <c r="C251" s="17">
        <f>IFERROR(('Table G'!$B$14+'Table G'!$B$15)/(1+'Table G'!$B$18)*IF(ABS(((1+$A251)/(1+'Table G'!$B$18))-1)&lt;0.000000001,10,(1-((1+$A251)/(1+'Table G'!$B$18))^10)/(1-((1+$A251)/(1+'Table G'!$B$18))))+('Table G'!$B$14+'Table G'!$B$15)*(1+$A251)^(10-1)*(1+'Table G'!$B$25)/(('Table G'!$B$18-'Table G'!$B$25)*(1+'Table G'!$B$18)^10),"")</f>
        <v>174739.41628009212</v>
      </c>
      <c r="D251" s="17">
        <f>IFERROR(('Table G'!$B$14+'Table G'!$B$15)/(1+'Table G'!$B$18)*IF(ABS(((1+$A251)/(1+'Table G'!$B$18))-1)&lt;0.000000001,5,(1-((1+$A251)/(1+'Table G'!$B$18))^5)/(1-((1+$A251)/(1+'Table G'!$B$18))))+('Table G'!$B$14+'Table G'!$B$15)*(1+$A251)^(5-1)*(1+'Table G'!$B$26)/(('Table G'!$B$18-'Table G'!$B$26)*(1+'Table G'!$B$18)^5),"")</f>
        <v>118103.17984528159</v>
      </c>
      <c r="E251" s="17">
        <f>IFERROR(('Table G'!$B$14+'Table G'!$B$15)/(1+'Table G'!$B$18)*IF(ABS(((1+$A251)/(1+'Table G'!$B$18))-1)&lt;0.000000001,10,(1-((1+$A251)/(1+'Table G'!$B$18))^10)/(1-((1+$A251)/(1+'Table G'!$B$18))))+('Table G'!$B$14+'Table G'!$B$15)*(1+$A251)^(10-1)*(1+'Table G'!$B$26)/(('Table G'!$B$18-'Table G'!$B$26)*(1+'Table G'!$B$18)^10),"")</f>
        <v>184581.26808700716</v>
      </c>
      <c r="F251" s="17">
        <f>IFERROR(('Table G'!$B$14+'Table G'!$B$15)/(1+'Table G'!$B$18)*IF(ABS(((1+$A251)/(1+'Table G'!$B$18))-1)&lt;0.000000001,5,(1-((1+$A251)/(1+'Table G'!$B$18))^5)/(1-((1+$A251)/(1+'Table G'!$B$18))))+('Table G'!$B$14+'Table G'!$B$15)*(1+$A251)^(5-1)*(1+'Table G'!$B$27)/(('Table G'!$B$18-'Table G'!$B$27)*(1+'Table G'!$B$18)^5),"")</f>
        <v>126672.96916826618</v>
      </c>
      <c r="G251" s="17">
        <f>IFERROR(('Table G'!$B$14+'Table G'!$B$15)/(1+'Table G'!$B$18)*IF(ABS(((1+$A251)/(1+'Table G'!$B$18))-1)&lt;0.000000001,10,(1-((1+$A251)/(1+'Table G'!$B$18))^10)/(1-((1+$A251)/(1+'Table G'!$B$18))))+('Table G'!$B$14+'Table G'!$B$15)*(1+$A251)^(10-1)*(1+'Table G'!$B$27)/(('Table G'!$B$18-'Table G'!$B$27)*(1+'Table G'!$B$18)^10),"")</f>
        <v>196136.39956021163</v>
      </c>
    </row>
    <row r="252" spans="1:7" x14ac:dyDescent="0.2">
      <c r="A252" s="8">
        <f>-0.1+248*$B$2</f>
        <v>0.14799999999999999</v>
      </c>
      <c r="B252" s="17">
        <f>IFERROR(('Table G'!$B$14+'Table G'!$B$15)/(1+'Table G'!$B$18)*IF(ABS(((1+$A252)/(1+'Table G'!$B$18))-1)&lt;0.000000001,5,(1-((1+$A252)/(1+'Table G'!$B$18))^5)/(1-((1+$A252)/(1+'Table G'!$B$18))))+('Table G'!$B$14+'Table G'!$B$15)*(1+$A252)^(5-1)*(1+'Table G'!$B$25)/(('Table G'!$B$18-'Table G'!$B$25)*(1+'Table G'!$B$18)^5),"")</f>
        <v>111149.33761496071</v>
      </c>
      <c r="C252" s="17">
        <f>IFERROR(('Table G'!$B$14+'Table G'!$B$15)/(1+'Table G'!$B$18)*IF(ABS(((1+$A252)/(1+'Table G'!$B$18))-1)&lt;0.000000001,10,(1-((1+$A252)/(1+'Table G'!$B$18))^10)/(1-((1+$A252)/(1+'Table G'!$B$18))))+('Table G'!$B$14+'Table G'!$B$15)*(1+$A252)^(10-1)*(1+'Table G'!$B$25)/(('Table G'!$B$18-'Table G'!$B$25)*(1+'Table G'!$B$18)^10),"")</f>
        <v>175906.3147239089</v>
      </c>
      <c r="D252" s="17">
        <f>IFERROR(('Table G'!$B$14+'Table G'!$B$15)/(1+'Table G'!$B$18)*IF(ABS(((1+$A252)/(1+'Table G'!$B$18))-1)&lt;0.000000001,5,(1-((1+$A252)/(1+'Table G'!$B$18))^5)/(1-((1+$A252)/(1+'Table G'!$B$18))))+('Table G'!$B$14+'Table G'!$B$15)*(1+$A252)^(5-1)*(1+'Table G'!$B$26)/(('Table G'!$B$18-'Table G'!$B$26)*(1+'Table G'!$B$18)^5),"")</f>
        <v>118473.97208272487</v>
      </c>
      <c r="E252" s="17">
        <f>IFERROR(('Table G'!$B$14+'Table G'!$B$15)/(1+'Table G'!$B$18)*IF(ABS(((1+$A252)/(1+'Table G'!$B$18))-1)&lt;0.000000001,10,(1-((1+$A252)/(1+'Table G'!$B$18))^10)/(1-((1+$A252)/(1+'Table G'!$B$18))))+('Table G'!$B$14+'Table G'!$B$15)*(1+$A252)^(10-1)*(1+'Table G'!$B$26)/(('Table G'!$B$18-'Table G'!$B$26)*(1+'Table G'!$B$18)^10),"")</f>
        <v>185825.66103304658</v>
      </c>
      <c r="F252" s="17">
        <f>IFERROR(('Table G'!$B$14+'Table G'!$B$15)/(1+'Table G'!$B$18)*IF(ABS(((1+$A252)/(1+'Table G'!$B$18))-1)&lt;0.000000001,5,(1-((1+$A252)/(1+'Table G'!$B$18))^5)/(1-((1+$A252)/(1+'Table G'!$B$18))))+('Table G'!$B$14+'Table G'!$B$15)*(1+$A252)^(5-1)*(1+'Table G'!$B$27)/(('Table G'!$B$18-'Table G'!$B$27)*(1+'Table G'!$B$18)^5),"")</f>
        <v>127073.68643817899</v>
      </c>
      <c r="G252" s="17">
        <f>IFERROR(('Table G'!$B$14+'Table G'!$B$15)/(1+'Table G'!$B$18)*IF(ABS(((1+$A252)/(1+'Table G'!$B$18))-1)&lt;0.000000001,10,(1-((1+$A252)/(1+'Table G'!$B$18))^10)/(1-((1+$A252)/(1+'Table G'!$B$18))))+('Table G'!$B$14+'Table G'!$B$15)*(1+$A252)^(10-1)*(1+'Table G'!$B$27)/(('Table G'!$B$18-'Table G'!$B$27)*(1+'Table G'!$B$18)^10),"")</f>
        <v>197471.77733097714</v>
      </c>
    </row>
    <row r="253" spans="1:7" x14ac:dyDescent="0.2">
      <c r="A253" s="8">
        <f>-0.1+249*$B$2</f>
        <v>0.14899999999999999</v>
      </c>
      <c r="B253" s="17">
        <f>IFERROR(('Table G'!$B$14+'Table G'!$B$15)/(1+'Table G'!$B$18)*IF(ABS(((1+$A253)/(1+'Table G'!$B$18))-1)&lt;0.000000001,5,(1-((1+$A253)/(1+'Table G'!$B$18))^5)/(1-((1+$A253)/(1+'Table G'!$B$18))))+('Table G'!$B$14+'Table G'!$B$15)*(1+$A253)^(5-1)*(1+'Table G'!$B$25)/(('Table G'!$B$18-'Table G'!$B$25)*(1+'Table G'!$B$18)^5),"")</f>
        <v>111495.50687678679</v>
      </c>
      <c r="C253" s="17">
        <f>IFERROR(('Table G'!$B$14+'Table G'!$B$15)/(1+'Table G'!$B$18)*IF(ABS(((1+$A253)/(1+'Table G'!$B$18))-1)&lt;0.000000001,10,(1-((1+$A253)/(1+'Table G'!$B$18))^10)/(1-((1+$A253)/(1+'Table G'!$B$18))))+('Table G'!$B$14+'Table G'!$B$15)*(1+$A253)^(10-1)*(1+'Table G'!$B$25)/(('Table G'!$B$18-'Table G'!$B$25)*(1+'Table G'!$B$18)^10),"")</f>
        <v>177080.83162560462</v>
      </c>
      <c r="D253" s="17">
        <f>IFERROR(('Table G'!$B$14+'Table G'!$B$15)/(1+'Table G'!$B$18)*IF(ABS(((1+$A253)/(1+'Table G'!$B$18))-1)&lt;0.000000001,5,(1-((1+$A253)/(1+'Table G'!$B$18))^5)/(1-((1+$A253)/(1+'Table G'!$B$18))))+('Table G'!$B$14+'Table G'!$B$15)*(1+$A253)^(5-1)*(1+'Table G'!$B$26)/(('Table G'!$B$18-'Table G'!$B$26)*(1+'Table G'!$B$18)^5),"")</f>
        <v>118845.69608511607</v>
      </c>
      <c r="E253" s="17">
        <f>IFERROR(('Table G'!$B$14+'Table G'!$B$15)/(1+'Table G'!$B$18)*IF(ABS(((1+$A253)/(1+'Table G'!$B$18))-1)&lt;0.000000001,10,(1-((1+$A253)/(1+'Table G'!$B$18))^10)/(1-((1+$A253)/(1+'Table G'!$B$18))))+('Table G'!$B$14+'Table G'!$B$15)*(1+$A253)^(10-1)*(1+'Table G'!$B$26)/(('Table G'!$B$18-'Table G'!$B$26)*(1+'Table G'!$B$18)^10),"")</f>
        <v>187078.21435415384</v>
      </c>
      <c r="F253" s="17">
        <f>IFERROR(('Table G'!$B$14+'Table G'!$B$15)/(1+'Table G'!$B$18)*IF(ABS(((1+$A253)/(1+'Table G'!$B$18))-1)&lt;0.000000001,5,(1-((1+$A253)/(1+'Table G'!$B$18))^5)/(1-((1+$A253)/(1+'Table G'!$B$18))))+('Table G'!$B$14+'Table G'!$B$15)*(1+$A253)^(5-1)*(1+'Table G'!$B$27)/(('Table G'!$B$18-'Table G'!$B$27)*(1+'Table G'!$B$18)^5),"")</f>
        <v>127475.41377660763</v>
      </c>
      <c r="G253" s="17">
        <f>IFERROR(('Table G'!$B$14+'Table G'!$B$15)/(1+'Table G'!$B$18)*IF(ABS(((1+$A253)/(1+'Table G'!$B$18))-1)&lt;0.000000001,10,(1-((1+$A253)/(1+'Table G'!$B$18))^10)/(1-((1+$A253)/(1+'Table G'!$B$18))))+('Table G'!$B$14+'Table G'!$B$15)*(1+$A253)^(10-1)*(1+'Table G'!$B$27)/(('Table G'!$B$18-'Table G'!$B$27)*(1+'Table G'!$B$18)^10),"")</f>
        <v>198815.95173150007</v>
      </c>
    </row>
    <row r="254" spans="1:7" x14ac:dyDescent="0.2">
      <c r="A254" s="8">
        <f>-0.1+250*$B$2</f>
        <v>0.15</v>
      </c>
      <c r="B254" s="17">
        <f>IFERROR(('Table G'!$B$14+'Table G'!$B$15)/(1+'Table G'!$B$18)*IF(ABS(((1+$A254)/(1+'Table G'!$B$18))-1)&lt;0.000000001,5,(1-((1+$A254)/(1+'Table G'!$B$18))^5)/(1-((1+$A254)/(1+'Table G'!$B$18))))+('Table G'!$B$14+'Table G'!$B$15)*(1+$A254)^(5-1)*(1+'Table G'!$B$25)/(('Table G'!$B$18-'Table G'!$B$25)*(1+'Table G'!$B$18)^5),"")</f>
        <v>111842.54268310472</v>
      </c>
      <c r="C254" s="17">
        <f>IFERROR(('Table G'!$B$14+'Table G'!$B$15)/(1+'Table G'!$B$18)*IF(ABS(((1+$A254)/(1+'Table G'!$B$18))-1)&lt;0.000000001,10,(1-((1+$A254)/(1+'Table G'!$B$18))^10)/(1-((1+$A254)/(1+'Table G'!$B$18))))+('Table G'!$B$14+'Table G'!$B$15)*(1+$A254)^(10-1)*(1+'Table G'!$B$25)/(('Table G'!$B$18-'Table G'!$B$25)*(1+'Table G'!$B$18)^10),"")</f>
        <v>178263.01179813081</v>
      </c>
      <c r="D254" s="17">
        <f>IFERROR(('Table G'!$B$14+'Table G'!$B$15)/(1+'Table G'!$B$18)*IF(ABS(((1+$A254)/(1+'Table G'!$B$18))-1)&lt;0.000000001,5,(1-((1+$A254)/(1+'Table G'!$B$18))^5)/(1-((1+$A254)/(1+'Table G'!$B$18))))+('Table G'!$B$14+'Table G'!$B$15)*(1+$A254)^(5-1)*(1+'Table G'!$B$26)/(('Table G'!$B$18-'Table G'!$B$26)*(1+'Table G'!$B$18)^5),"")</f>
        <v>119218.35344173611</v>
      </c>
      <c r="E254" s="17">
        <f>IFERROR(('Table G'!$B$14+'Table G'!$B$15)/(1+'Table G'!$B$18)*IF(ABS(((1+$A254)/(1+'Table G'!$B$18))-1)&lt;0.000000001,10,(1-((1+$A254)/(1+'Table G'!$B$18))^10)/(1-((1+$A254)/(1+'Table G'!$B$18))))+('Table G'!$B$14+'Table G'!$B$15)*(1+$A254)^(10-1)*(1+'Table G'!$B$26)/(('Table G'!$B$18-'Table G'!$B$26)*(1+'Table G'!$B$18)^10),"")</f>
        <v>188338.97617629872</v>
      </c>
      <c r="F254" s="17">
        <f>IFERROR(('Table G'!$B$14+'Table G'!$B$15)/(1+'Table G'!$B$18)*IF(ABS(((1+$A254)/(1+'Table G'!$B$18))-1)&lt;0.000000001,5,(1-((1+$A254)/(1+'Table G'!$B$18))^5)/(1-((1+$A254)/(1+'Table G'!$B$18))))+('Table G'!$B$14+'Table G'!$B$15)*(1+$A254)^(5-1)*(1+'Table G'!$B$27)/(('Table G'!$B$18-'Table G'!$B$27)*(1+'Table G'!$B$18)^5),"")</f>
        <v>127878.15290930973</v>
      </c>
      <c r="G254" s="17">
        <f>IFERROR(('Table G'!$B$14+'Table G'!$B$15)/(1+'Table G'!$B$18)*IF(ABS(((1+$A254)/(1+'Table G'!$B$18))-1)&lt;0.000000001,10,(1-((1+$A254)/(1+'Table G'!$B$18))^10)/(1-((1+$A254)/(1+'Table G'!$B$18))))+('Table G'!$B$14+'Table G'!$B$15)*(1+$A254)^(10-1)*(1+'Table G'!$B$27)/(('Table G'!$B$18-'Table G'!$B$27)*(1+'Table G'!$B$18)^10),"")</f>
        <v>200168.97477750198</v>
      </c>
    </row>
    <row r="255" spans="1:7" x14ac:dyDescent="0.2">
      <c r="A255" s="8">
        <f>-0.1+251*$B$2</f>
        <v>0.151</v>
      </c>
      <c r="B255" s="17">
        <f>IFERROR(('Table G'!$B$14+'Table G'!$B$15)/(1+'Table G'!$B$18)*IF(ABS(((1+$A255)/(1+'Table G'!$B$18))-1)&lt;0.000000001,5,(1-((1+$A255)/(1+'Table G'!$B$18))^5)/(1-((1+$A255)/(1+'Table G'!$B$18))))+('Table G'!$B$14+'Table G'!$B$15)*(1+$A255)^(5-1)*(1+'Table G'!$B$25)/(('Table G'!$B$18-'Table G'!$B$25)*(1+'Table G'!$B$18)^5),"")</f>
        <v>112190.44650821835</v>
      </c>
      <c r="C255" s="17">
        <f>IFERROR(('Table G'!$B$14+'Table G'!$B$15)/(1+'Table G'!$B$18)*IF(ABS(((1+$A255)/(1+'Table G'!$B$18))-1)&lt;0.000000001,10,(1-((1+$A255)/(1+'Table G'!$B$18))^10)/(1-((1+$A255)/(1+'Table G'!$B$18))))+('Table G'!$B$14+'Table G'!$B$15)*(1+$A255)^(10-1)*(1+'Table G'!$B$25)/(('Table G'!$B$18-'Table G'!$B$25)*(1+'Table G'!$B$18)^10),"")</f>
        <v>179452.9002832899</v>
      </c>
      <c r="D255" s="17">
        <f>IFERROR(('Table G'!$B$14+'Table G'!$B$15)/(1+'Table G'!$B$18)*IF(ABS(((1+$A255)/(1+'Table G'!$B$18))-1)&lt;0.000000001,5,(1-((1+$A255)/(1+'Table G'!$B$18))^5)/(1-((1+$A255)/(1+'Table G'!$B$18))))+('Table G'!$B$14+'Table G'!$B$15)*(1+$A255)^(5-1)*(1+'Table G'!$B$26)/(('Table G'!$B$18-'Table G'!$B$26)*(1+'Table G'!$B$18)^5),"")</f>
        <v>119591.94574323147</v>
      </c>
      <c r="E255" s="17">
        <f>IFERROR(('Table G'!$B$14+'Table G'!$B$15)/(1+'Table G'!$B$18)*IF(ABS(((1+$A255)/(1+'Table G'!$B$18))-1)&lt;0.000000001,10,(1-((1+$A255)/(1+'Table G'!$B$18))^10)/(1-((1+$A255)/(1+'Table G'!$B$18))))+('Table G'!$B$14+'Table G'!$B$15)*(1+$A255)^(10-1)*(1+'Table G'!$B$26)/(('Table G'!$B$18-'Table G'!$B$26)*(1+'Table G'!$B$18)^10),"")</f>
        <v>189607.99487164756</v>
      </c>
      <c r="F255" s="17">
        <f>IFERROR(('Table G'!$B$14+'Table G'!$B$15)/(1+'Table G'!$B$18)*IF(ABS(((1+$A255)/(1+'Table G'!$B$18))-1)&lt;0.000000001,5,(1-((1+$A255)/(1+'Table G'!$B$18))^5)/(1-((1+$A255)/(1+'Table G'!$B$18))))+('Table G'!$B$14+'Table G'!$B$15)*(1+$A255)^(5-1)*(1+'Table G'!$B$27)/(('Table G'!$B$18-'Table G'!$B$27)*(1+'Table G'!$B$18)^5),"")</f>
        <v>128281.90556352738</v>
      </c>
      <c r="G255" s="17">
        <f>IFERROR(('Table G'!$B$14+'Table G'!$B$15)/(1+'Table G'!$B$18)*IF(ABS(((1+$A255)/(1+'Table G'!$B$18))-1)&lt;0.000000001,10,(1-((1+$A255)/(1+'Table G'!$B$18))^10)/(1-((1+$A255)/(1+'Table G'!$B$18))))+('Table G'!$B$14+'Table G'!$B$15)*(1+$A255)^(10-1)*(1+'Table G'!$B$27)/(('Table G'!$B$18-'Table G'!$B$27)*(1+'Table G'!$B$18)^10),"")</f>
        <v>201530.8987512663</v>
      </c>
    </row>
    <row r="256" spans="1:7" x14ac:dyDescent="0.2">
      <c r="A256" s="8">
        <f>-0.1+252*$B$2</f>
        <v>0.152</v>
      </c>
      <c r="B256" s="17">
        <f>IFERROR(('Table G'!$B$14+'Table G'!$B$15)/(1+'Table G'!$B$18)*IF(ABS(((1+$A256)/(1+'Table G'!$B$18))-1)&lt;0.000000001,5,(1-((1+$A256)/(1+'Table G'!$B$18))^5)/(1-((1+$A256)/(1+'Table G'!$B$18))))+('Table G'!$B$14+'Table G'!$B$15)*(1+$A256)^(5-1)*(1+'Table G'!$B$25)/(('Table G'!$B$18-'Table G'!$B$25)*(1+'Table G'!$B$18)^5),"")</f>
        <v>112539.21982769531</v>
      </c>
      <c r="C256" s="17">
        <f>IFERROR(('Table G'!$B$14+'Table G'!$B$15)/(1+'Table G'!$B$18)*IF(ABS(((1+$A256)/(1+'Table G'!$B$18))-1)&lt;0.000000001,10,(1-((1+$A256)/(1+'Table G'!$B$18))^10)/(1-((1+$A256)/(1+'Table G'!$B$18))))+('Table G'!$B$14+'Table G'!$B$15)*(1+$A256)^(10-1)*(1+'Table G'!$B$25)/(('Table G'!$B$18-'Table G'!$B$25)*(1+'Table G'!$B$18)^10),"")</f>
        <v>180650.54235271399</v>
      </c>
      <c r="D256" s="17">
        <f>IFERROR(('Table G'!$B$14+'Table G'!$B$15)/(1+'Table G'!$B$18)*IF(ABS(((1+$A256)/(1+'Table G'!$B$18))-1)&lt;0.000000001,5,(1-((1+$A256)/(1+'Table G'!$B$18))^5)/(1-((1+$A256)/(1+'Table G'!$B$18))))+('Table G'!$B$14+'Table G'!$B$15)*(1+$A256)^(5-1)*(1+'Table G'!$B$26)/(('Table G'!$B$18-'Table G'!$B$26)*(1+'Table G'!$B$18)^5),"")</f>
        <v>119966.47458161353</v>
      </c>
      <c r="E256" s="17">
        <f>IFERROR(('Table G'!$B$14+'Table G'!$B$15)/(1+'Table G'!$B$18)*IF(ABS(((1+$A256)/(1+'Table G'!$B$18))-1)&lt;0.000000001,10,(1-((1+$A256)/(1+'Table G'!$B$18))^10)/(1-((1+$A256)/(1+'Table G'!$B$18))))+('Table G'!$B$14+'Table G'!$B$15)*(1+$A256)^(10-1)*(1+'Table G'!$B$26)/(('Table G'!$B$18-'Table G'!$B$26)*(1+'Table G'!$B$18)^10),"")</f>
        <v>190885.31905961747</v>
      </c>
      <c r="F256" s="17">
        <f>IFERROR(('Table G'!$B$14+'Table G'!$B$15)/(1+'Table G'!$B$18)*IF(ABS(((1+$A256)/(1+'Table G'!$B$18))-1)&lt;0.000000001,5,(1-((1+$A256)/(1+'Table G'!$B$18))^5)/(1-((1+$A256)/(1+'Table G'!$B$18))))+('Table G'!$B$14+'Table G'!$B$15)*(1+$A256)^(5-1)*(1+'Table G'!$B$27)/(('Table G'!$B$18-'Table G'!$B$27)*(1+'Table G'!$B$18)^5),"")</f>
        <v>128686.67346798637</v>
      </c>
      <c r="G256" s="17">
        <f>IFERROR(('Table G'!$B$14+'Table G'!$B$15)/(1+'Table G'!$B$18)*IF(ABS(((1+$A256)/(1+'Table G'!$B$18))-1)&lt;0.000000001,10,(1-((1+$A256)/(1+'Table G'!$B$18))^10)/(1-((1+$A256)/(1+'Table G'!$B$18))))+('Table G'!$B$14+'Table G'!$B$15)*(1+$A256)^(10-1)*(1+'Table G'!$B$27)/(('Table G'!$B$18-'Table G'!$B$27)*(1+'Table G'!$B$18)^10),"")</f>
        <v>202901.77620278092</v>
      </c>
    </row>
    <row r="257" spans="1:7" x14ac:dyDescent="0.2">
      <c r="A257" s="8">
        <f>-0.1+253*$B$2</f>
        <v>0.153</v>
      </c>
      <c r="B257" s="17">
        <f>IFERROR(('Table G'!$B$14+'Table G'!$B$15)/(1+'Table G'!$B$18)*IF(ABS(((1+$A257)/(1+'Table G'!$B$18))-1)&lt;0.000000001,5,(1-((1+$A257)/(1+'Table G'!$B$18))^5)/(1-((1+$A257)/(1+'Table G'!$B$18))))+('Table G'!$B$14+'Table G'!$B$15)*(1+$A257)^(5-1)*(1+'Table G'!$B$25)/(('Table G'!$B$18-'Table G'!$B$25)*(1+'Table G'!$B$18)^5),"")</f>
        <v>112888.86411836758</v>
      </c>
      <c r="C257" s="17">
        <f>IFERROR(('Table G'!$B$14+'Table G'!$B$15)/(1+'Table G'!$B$18)*IF(ABS(((1+$A257)/(1+'Table G'!$B$18))-1)&lt;0.000000001,10,(1-((1+$A257)/(1+'Table G'!$B$18))^10)/(1-((1+$A257)/(1+'Table G'!$B$18))))+('Table G'!$B$14+'Table G'!$B$15)*(1+$A257)^(10-1)*(1+'Table G'!$B$25)/(('Table G'!$B$18-'Table G'!$B$25)*(1+'Table G'!$B$18)^10),"")</f>
        <v>181855.98350884989</v>
      </c>
      <c r="D257" s="17">
        <f>IFERROR(('Table G'!$B$14+'Table G'!$B$15)/(1+'Table G'!$B$18)*IF(ABS(((1+$A257)/(1+'Table G'!$B$18))-1)&lt;0.000000001,5,(1-((1+$A257)/(1+'Table G'!$B$18))^5)/(1-((1+$A257)/(1+'Table G'!$B$18))))+('Table G'!$B$14+'Table G'!$B$15)*(1+$A257)^(5-1)*(1+'Table G'!$B$26)/(('Table G'!$B$18-'Table G'!$B$26)*(1+'Table G'!$B$18)^5),"")</f>
        <v>120341.94155025922</v>
      </c>
      <c r="E257" s="17">
        <f>IFERROR(('Table G'!$B$14+'Table G'!$B$15)/(1+'Table G'!$B$18)*IF(ABS(((1+$A257)/(1+'Table G'!$B$18))-1)&lt;0.000000001,10,(1-((1+$A257)/(1+'Table G'!$B$18))^10)/(1-((1+$A257)/(1+'Table G'!$B$18))))+('Table G'!$B$14+'Table G'!$B$15)*(1+$A257)^(10-1)*(1+'Table G'!$B$26)/(('Table G'!$B$18-'Table G'!$B$26)*(1+'Table G'!$B$18)^10),"")</f>
        <v>192170.99760793746</v>
      </c>
      <c r="F257" s="17">
        <f>IFERROR(('Table G'!$B$14+'Table G'!$B$15)/(1+'Table G'!$B$18)*IF(ABS(((1+$A257)/(1+'Table G'!$B$18))-1)&lt;0.000000001,5,(1-((1+$A257)/(1+'Table G'!$B$18))^5)/(1-((1+$A257)/(1+'Table G'!$B$18))))+('Table G'!$B$14+'Table G'!$B$15)*(1+$A257)^(5-1)*(1+'Table G'!$B$27)/(('Table G'!$B$18-'Table G'!$B$27)*(1+'Table G'!$B$18)^5),"")</f>
        <v>129092.45835289694</v>
      </c>
      <c r="G257" s="17">
        <f>IFERROR(('Table G'!$B$14+'Table G'!$B$15)/(1+'Table G'!$B$18)*IF(ABS(((1+$A257)/(1+'Table G'!$B$18))-1)&lt;0.000000001,10,(1-((1+$A257)/(1+'Table G'!$B$18))^10)/(1-((1+$A257)/(1+'Table G'!$B$18))))+('Table G'!$B$14+'Table G'!$B$15)*(1+$A257)^(10-1)*(1+'Table G'!$B$27)/(('Table G'!$B$18-'Table G'!$B$27)*(1+'Table G'!$B$18)^10),"")</f>
        <v>204281.6599508888</v>
      </c>
    </row>
    <row r="258" spans="1:7" x14ac:dyDescent="0.2">
      <c r="A258" s="8">
        <f>-0.1+254*$B$2</f>
        <v>0.154</v>
      </c>
      <c r="B258" s="17">
        <f>IFERROR(('Table G'!$B$14+'Table G'!$B$15)/(1+'Table G'!$B$18)*IF(ABS(((1+$A258)/(1+'Table G'!$B$18))-1)&lt;0.000000001,5,(1-((1+$A258)/(1+'Table G'!$B$18))^5)/(1-((1+$A258)/(1+'Table G'!$B$18))))+('Table G'!$B$14+'Table G'!$B$15)*(1+$A258)^(5-1)*(1+'Table G'!$B$25)/(('Table G'!$B$18-'Table G'!$B$25)*(1+'Table G'!$B$18)^5),"")</f>
        <v>113239.38085833073</v>
      </c>
      <c r="C258" s="17">
        <f>IFERROR(('Table G'!$B$14+'Table G'!$B$15)/(1+'Table G'!$B$18)*IF(ABS(((1+$A258)/(1+'Table G'!$B$18))-1)&lt;0.000000001,10,(1-((1+$A258)/(1+'Table G'!$B$18))^10)/(1-((1+$A258)/(1+'Table G'!$B$18))))+('Table G'!$B$14+'Table G'!$B$15)*(1+$A258)^(10-1)*(1+'Table G'!$B$25)/(('Table G'!$B$18-'Table G'!$B$25)*(1+'Table G'!$B$18)^10),"")</f>
        <v>183069.26948594468</v>
      </c>
      <c r="D258" s="17">
        <f>IFERROR(('Table G'!$B$14+'Table G'!$B$15)/(1+'Table G'!$B$18)*IF(ABS(((1+$A258)/(1+'Table G'!$B$18))-1)&lt;0.000000001,5,(1-((1+$A258)/(1+'Table G'!$B$18))^5)/(1-((1+$A258)/(1+'Table G'!$B$18))))+('Table G'!$B$14+'Table G'!$B$15)*(1+$A258)^(5-1)*(1+'Table G'!$B$26)/(('Table G'!$B$18-'Table G'!$B$26)*(1+'Table G'!$B$18)^5),"")</f>
        <v>120718.34824391032</v>
      </c>
      <c r="E258" s="17">
        <f>IFERROR(('Table G'!$B$14+'Table G'!$B$15)/(1+'Table G'!$B$18)*IF(ABS(((1+$A258)/(1+'Table G'!$B$18))-1)&lt;0.000000001,10,(1-((1+$A258)/(1+'Table G'!$B$18))^10)/(1-((1+$A258)/(1+'Table G'!$B$18))))+('Table G'!$B$14+'Table G'!$B$15)*(1+$A258)^(10-1)*(1+'Table G'!$B$26)/(('Table G'!$B$18-'Table G'!$B$26)*(1+'Table G'!$B$18)^10),"")</f>
        <v>193465.0796337098</v>
      </c>
      <c r="F258" s="17">
        <f>IFERROR(('Table G'!$B$14+'Table G'!$B$15)/(1+'Table G'!$B$18)*IF(ABS(((1+$A258)/(1+'Table G'!$B$18))-1)&lt;0.000000001,5,(1-((1+$A258)/(1+'Table G'!$B$18))^5)/(1-((1+$A258)/(1+'Table G'!$B$18))))+('Table G'!$B$14+'Table G'!$B$15)*(1+$A258)^(5-1)*(1+'Table G'!$B$27)/(('Table G'!$B$18-'Table G'!$B$27)*(1+'Table G'!$B$18)^5),"")</f>
        <v>129499.2619499529</v>
      </c>
      <c r="G258" s="17">
        <f>IFERROR(('Table G'!$B$14+'Table G'!$B$15)/(1+'Table G'!$B$18)*IF(ABS(((1+$A258)/(1+'Table G'!$B$18))-1)&lt;0.000000001,10,(1-((1+$A258)/(1+'Table G'!$B$18))^10)/(1-((1+$A258)/(1+'Table G'!$B$18))))+('Table G'!$B$14+'Table G'!$B$15)*(1+$A258)^(10-1)*(1+'Table G'!$B$27)/(('Table G'!$B$18-'Table G'!$B$27)*(1+'Table G'!$B$18)^10),"")</f>
        <v>205670.60308443854</v>
      </c>
    </row>
    <row r="259" spans="1:7" x14ac:dyDescent="0.2">
      <c r="A259" s="8">
        <f>-0.1+255*$B$2</f>
        <v>0.155</v>
      </c>
      <c r="B259" s="17">
        <f>IFERROR(('Table G'!$B$14+'Table G'!$B$15)/(1+'Table G'!$B$18)*IF(ABS(((1+$A259)/(1+'Table G'!$B$18))-1)&lt;0.000000001,5,(1-((1+$A259)/(1+'Table G'!$B$18))^5)/(1-((1+$A259)/(1+'Table G'!$B$18))))+('Table G'!$B$14+'Table G'!$B$15)*(1+$A259)^(5-1)*(1+'Table G'!$B$25)/(('Table G'!$B$18-'Table G'!$B$25)*(1+'Table G'!$B$18)^5),"")</f>
        <v>113590.77152694478</v>
      </c>
      <c r="C259" s="17">
        <f>IFERROR(('Table G'!$B$14+'Table G'!$B$15)/(1+'Table G'!$B$18)*IF(ABS(((1+$A259)/(1+'Table G'!$B$18))-1)&lt;0.000000001,10,(1-((1+$A259)/(1+'Table G'!$B$18))^10)/(1-((1+$A259)/(1+'Table G'!$B$18))))+('Table G'!$B$14+'Table G'!$B$15)*(1+$A259)^(10-1)*(1+'Table G'!$B$25)/(('Table G'!$B$18-'Table G'!$B$25)*(1+'Table G'!$B$18)^10),"")</f>
        <v>184290.44625103788</v>
      </c>
      <c r="D259" s="17">
        <f>IFERROR(('Table G'!$B$14+'Table G'!$B$15)/(1+'Table G'!$B$18)*IF(ABS(((1+$A259)/(1+'Table G'!$B$18))-1)&lt;0.000000001,5,(1-((1+$A259)/(1+'Table G'!$B$18))^5)/(1-((1+$A259)/(1+'Table G'!$B$18))))+('Table G'!$B$14+'Table G'!$B$15)*(1+$A259)^(5-1)*(1+'Table G'!$B$26)/(('Table G'!$B$18-'Table G'!$B$26)*(1+'Table G'!$B$18)^5),"")</f>
        <v>121095.69625867432</v>
      </c>
      <c r="E259" s="17">
        <f>IFERROR(('Table G'!$B$14+'Table G'!$B$15)/(1+'Table G'!$B$18)*IF(ABS(((1+$A259)/(1+'Table G'!$B$18))-1)&lt;0.000000001,10,(1-((1+$A259)/(1+'Table G'!$B$18))^10)/(1-((1+$A259)/(1+'Table G'!$B$18))))+('Table G'!$B$14+'Table G'!$B$15)*(1+$A259)^(10-1)*(1+'Table G'!$B$26)/(('Table G'!$B$18-'Table G'!$B$26)*(1+'Table G'!$B$18)^10),"")</f>
        <v>194767.6145044791</v>
      </c>
      <c r="F259" s="17">
        <f>IFERROR(('Table G'!$B$14+'Table G'!$B$15)/(1+'Table G'!$B$18)*IF(ABS(((1+$A259)/(1+'Table G'!$B$18))-1)&lt;0.000000001,5,(1-((1+$A259)/(1+'Table G'!$B$18))^5)/(1-((1+$A259)/(1+'Table G'!$B$18))))+('Table G'!$B$14+'Table G'!$B$15)*(1+$A259)^(5-1)*(1+'Table G'!$B$27)/(('Table G'!$B$18-'Table G'!$B$27)*(1+'Table G'!$B$18)^5),"")</f>
        <v>129907.08599233268</v>
      </c>
      <c r="G259" s="17">
        <f>IFERROR(('Table G'!$B$14+'Table G'!$B$15)/(1+'Table G'!$B$18)*IF(ABS(((1+$A259)/(1+'Table G'!$B$18))-1)&lt;0.000000001,10,(1-((1+$A259)/(1+'Table G'!$B$18))^10)/(1-((1+$A259)/(1+'Table G'!$B$18))))+('Table G'!$B$14+'Table G'!$B$15)*(1+$A259)^(10-1)*(1+'Table G'!$B$27)/(('Table G'!$B$18-'Table G'!$B$27)*(1+'Table G'!$B$18)^10),"")</f>
        <v>207068.65896344307</v>
      </c>
    </row>
    <row r="260" spans="1:7" x14ac:dyDescent="0.2">
      <c r="A260" s="8">
        <f>-0.1+256*$B$2</f>
        <v>0.156</v>
      </c>
      <c r="B260" s="17">
        <f>IFERROR(('Table G'!$B$14+'Table G'!$B$15)/(1+'Table G'!$B$18)*IF(ABS(((1+$A260)/(1+'Table G'!$B$18))-1)&lt;0.000000001,5,(1-((1+$A260)/(1+'Table G'!$B$18))^5)/(1-((1+$A260)/(1+'Table G'!$B$18))))+('Table G'!$B$14+'Table G'!$B$15)*(1+$A260)^(5-1)*(1+'Table G'!$B$25)/(('Table G'!$B$18-'Table G'!$B$25)*(1+'Table G'!$B$18)^5),"")</f>
        <v>113943.03760483344</v>
      </c>
      <c r="C260" s="17">
        <f>IFERROR(('Table G'!$B$14+'Table G'!$B$15)/(1+'Table G'!$B$18)*IF(ABS(((1+$A260)/(1+'Table G'!$B$18))-1)&lt;0.000000001,10,(1-((1+$A260)/(1+'Table G'!$B$18))^10)/(1-((1+$A260)/(1+'Table G'!$B$18))))+('Table G'!$B$14+'Table G'!$B$15)*(1+$A260)^(10-1)*(1+'Table G'!$B$25)/(('Table G'!$B$18-'Table G'!$B$25)*(1+'Table G'!$B$18)^10),"")</f>
        <v>185519.5600049537</v>
      </c>
      <c r="D260" s="17">
        <f>IFERROR(('Table G'!$B$14+'Table G'!$B$15)/(1+'Table G'!$B$18)*IF(ABS(((1+$A260)/(1+'Table G'!$B$18))-1)&lt;0.000000001,5,(1-((1+$A260)/(1+'Table G'!$B$18))^5)/(1-((1+$A260)/(1+'Table G'!$B$18))))+('Table G'!$B$14+'Table G'!$B$15)*(1+$A260)^(5-1)*(1+'Table G'!$B$26)/(('Table G'!$B$18-'Table G'!$B$26)*(1+'Table G'!$B$18)^5),"")</f>
        <v>121473.98719202349</v>
      </c>
      <c r="E260" s="17">
        <f>IFERROR(('Table G'!$B$14+'Table G'!$B$15)/(1+'Table G'!$B$18)*IF(ABS(((1+$A260)/(1+'Table G'!$B$18))-1)&lt;0.000000001,10,(1-((1+$A260)/(1+'Table G'!$B$18))^10)/(1-((1+$A260)/(1+'Table G'!$B$18))))+('Table G'!$B$14+'Table G'!$B$15)*(1+$A260)^(10-1)*(1+'Table G'!$B$26)/(('Table G'!$B$18-'Table G'!$B$26)*(1+'Table G'!$B$18)^10),"")</f>
        <v>196078.65183930076</v>
      </c>
      <c r="F260" s="17">
        <f>IFERROR(('Table G'!$B$14+'Table G'!$B$15)/(1+'Table G'!$B$18)*IF(ABS(((1+$A260)/(1+'Table G'!$B$18))-1)&lt;0.000000001,5,(1-((1+$A260)/(1+'Table G'!$B$18))^5)/(1-((1+$A260)/(1+'Table G'!$B$18))))+('Table G'!$B$14+'Table G'!$B$15)*(1+$A260)^(5-1)*(1+'Table G'!$B$27)/(('Table G'!$B$18-'Table G'!$B$27)*(1+'Table G'!$B$18)^5),"")</f>
        <v>130315.93221469827</v>
      </c>
      <c r="G260" s="17">
        <f>IFERROR(('Table G'!$B$14+'Table G'!$B$15)/(1+'Table G'!$B$18)*IF(ABS(((1+$A260)/(1+'Table G'!$B$18))-1)&lt;0.000000001,10,(1-((1+$A260)/(1+'Table G'!$B$18))^10)/(1-((1+$A260)/(1+'Table G'!$B$18))))+('Table G'!$B$14+'Table G'!$B$15)*(1+$A260)^(10-1)*(1+'Table G'!$B$27)/(('Table G'!$B$18-'Table G'!$B$27)*(1+'Table G'!$B$18)^10),"")</f>
        <v>208475.88122023828</v>
      </c>
    </row>
    <row r="261" spans="1:7" x14ac:dyDescent="0.2">
      <c r="A261" s="8">
        <f>-0.1+257*$B$2</f>
        <v>0.157</v>
      </c>
      <c r="B261" s="17">
        <f>IFERROR(('Table G'!$B$14+'Table G'!$B$15)/(1+'Table G'!$B$18)*IF(ABS(((1+$A261)/(1+'Table G'!$B$18))-1)&lt;0.000000001,5,(1-((1+$A261)/(1+'Table G'!$B$18))^5)/(1-((1+$A261)/(1+'Table G'!$B$18))))+('Table G'!$B$14+'Table G'!$B$15)*(1+$A261)^(5-1)*(1+'Table G'!$B$25)/(('Table G'!$B$18-'Table G'!$B$25)*(1+'Table G'!$B$18)^5),"")</f>
        <v>114296.18057388475</v>
      </c>
      <c r="C261" s="17">
        <f>IFERROR(('Table G'!$B$14+'Table G'!$B$15)/(1+'Table G'!$B$18)*IF(ABS(((1+$A261)/(1+'Table G'!$B$18))-1)&lt;0.000000001,10,(1-((1+$A261)/(1+'Table G'!$B$18))^10)/(1-((1+$A261)/(1+'Table G'!$B$18))))+('Table G'!$B$14+'Table G'!$B$15)*(1+$A261)^(10-1)*(1+'Table G'!$B$25)/(('Table G'!$B$18-'Table G'!$B$25)*(1+'Table G'!$B$18)^10),"")</f>
        <v>186756.65718329971</v>
      </c>
      <c r="D261" s="17">
        <f>IFERROR(('Table G'!$B$14+'Table G'!$B$15)/(1+'Table G'!$B$18)*IF(ABS(((1+$A261)/(1+'Table G'!$B$18))-1)&lt;0.000000001,5,(1-((1+$A261)/(1+'Table G'!$B$18))^5)/(1-((1+$A261)/(1+'Table G'!$B$18))))+('Table G'!$B$14+'Table G'!$B$15)*(1+$A261)^(5-1)*(1+'Table G'!$B$26)/(('Table G'!$B$18-'Table G'!$B$26)*(1+'Table G'!$B$18)^5),"")</f>
        <v>121853.22264279568</v>
      </c>
      <c r="E261" s="17">
        <f>IFERROR(('Table G'!$B$14+'Table G'!$B$15)/(1+'Table G'!$B$18)*IF(ABS(((1+$A261)/(1+'Table G'!$B$18))-1)&lt;0.000000001,10,(1-((1+$A261)/(1+'Table G'!$B$18))^10)/(1-((1+$A261)/(1+'Table G'!$B$18))))+('Table G'!$B$14+'Table G'!$B$15)*(1+$A261)^(10-1)*(1+'Table G'!$B$26)/(('Table G'!$B$18-'Table G'!$B$26)*(1+'Table G'!$B$18)^10),"")</f>
        <v>197398.24150981696</v>
      </c>
      <c r="F261" s="17">
        <f>IFERROR(('Table G'!$B$14+'Table G'!$B$15)/(1+'Table G'!$B$18)*IF(ABS(((1+$A261)/(1+'Table G'!$B$18))-1)&lt;0.000000001,5,(1-((1+$A261)/(1+'Table G'!$B$18))^5)/(1-((1+$A261)/(1+'Table G'!$B$18))))+('Table G'!$B$14+'Table G'!$B$15)*(1+$A261)^(5-1)*(1+'Table G'!$B$27)/(('Table G'!$B$18-'Table G'!$B$27)*(1+'Table G'!$B$18)^5),"")</f>
        <v>130725.80235319614</v>
      </c>
      <c r="G261" s="17">
        <f>IFERROR(('Table G'!$B$14+'Table G'!$B$15)/(1+'Table G'!$B$18)*IF(ABS(((1+$A261)/(1+'Table G'!$B$18))-1)&lt;0.000000001,10,(1-((1+$A261)/(1+'Table G'!$B$18))^10)/(1-((1+$A261)/(1+'Table G'!$B$18))))+('Table G'!$B$14+'Table G'!$B$15)*(1+$A261)^(10-1)*(1+'Table G'!$B$27)/(('Table G'!$B$18-'Table G'!$B$27)*(1+'Table G'!$B$18)^10),"")</f>
        <v>209892.32376064919</v>
      </c>
    </row>
    <row r="262" spans="1:7" x14ac:dyDescent="0.2">
      <c r="A262" s="8">
        <f>-0.1+258*$B$2</f>
        <v>0.158</v>
      </c>
      <c r="B262" s="17">
        <f>IFERROR(('Table G'!$B$14+'Table G'!$B$15)/(1+'Table G'!$B$18)*IF(ABS(((1+$A262)/(1+'Table G'!$B$18))-1)&lt;0.000000001,5,(1-((1+$A262)/(1+'Table G'!$B$18))^5)/(1-((1+$A262)/(1+'Table G'!$B$18))))+('Table G'!$B$14+'Table G'!$B$15)*(1+$A262)^(5-1)*(1+'Table G'!$B$25)/(('Table G'!$B$18-'Table G'!$B$25)*(1+'Table G'!$B$18)^5),"")</f>
        <v>114650.20191725045</v>
      </c>
      <c r="C262" s="17">
        <f>IFERROR(('Table G'!$B$14+'Table G'!$B$15)/(1+'Table G'!$B$18)*IF(ABS(((1+$A262)/(1+'Table G'!$B$18))-1)&lt;0.000000001,10,(1-((1+$A262)/(1+'Table G'!$B$18))^10)/(1-((1+$A262)/(1+'Table G'!$B$18))))+('Table G'!$B$14+'Table G'!$B$15)*(1+$A262)^(10-1)*(1+'Table G'!$B$25)/(('Table G'!$B$18-'Table G'!$B$25)*(1+'Table G'!$B$18)^10),"")</f>
        <v>188001.78445746619</v>
      </c>
      <c r="D262" s="17">
        <f>IFERROR(('Table G'!$B$14+'Table G'!$B$15)/(1+'Table G'!$B$18)*IF(ABS(((1+$A262)/(1+'Table G'!$B$18))-1)&lt;0.000000001,5,(1-((1+$A262)/(1+'Table G'!$B$18))^5)/(1-((1+$A262)/(1+'Table G'!$B$18))))+('Table G'!$B$14+'Table G'!$B$15)*(1+$A262)^(5-1)*(1+'Table G'!$B$26)/(('Table G'!$B$18-'Table G'!$B$26)*(1+'Table G'!$B$18)^5),"")</f>
        <v>122233.40421119373</v>
      </c>
      <c r="E262" s="17">
        <f>IFERROR(('Table G'!$B$14+'Table G'!$B$15)/(1+'Table G'!$B$18)*IF(ABS(((1+$A262)/(1+'Table G'!$B$18))-1)&lt;0.000000001,10,(1-((1+$A262)/(1+'Table G'!$B$18))^10)/(1-((1+$A262)/(1+'Table G'!$B$18))))+('Table G'!$B$14+'Table G'!$B$15)*(1+$A262)^(10-1)*(1+'Table G'!$B$26)/(('Table G'!$B$18-'Table G'!$B$26)*(1+'Table G'!$B$18)^10),"")</f>
        <v>198726.43364133275</v>
      </c>
      <c r="F262" s="17">
        <f>IFERROR(('Table G'!$B$14+'Table G'!$B$15)/(1+'Table G'!$B$18)*IF(ABS(((1+$A262)/(1+'Table G'!$B$18))-1)&lt;0.000000001,5,(1-((1+$A262)/(1+'Table G'!$B$18))^5)/(1-((1+$A262)/(1+'Table G'!$B$18))))+('Table G'!$B$14+'Table G'!$B$15)*(1+$A262)^(5-1)*(1+'Table G'!$B$27)/(('Table G'!$B$18-'Table G'!$B$27)*(1+'Table G'!$B$18)^5),"")</f>
        <v>131136.6981454565</v>
      </c>
      <c r="G262" s="17">
        <f>IFERROR(('Table G'!$B$14+'Table G'!$B$15)/(1+'Table G'!$B$18)*IF(ABS(((1+$A262)/(1+'Table G'!$B$18))-1)&lt;0.000000001,10,(1-((1+$A262)/(1+'Table G'!$B$18))^10)/(1-((1+$A262)/(1+'Table G'!$B$18))))+('Table G'!$B$14+'Table G'!$B$15)*(1+$A262)^(10-1)*(1+'Table G'!$B$27)/(('Table G'!$B$18-'Table G'!$B$27)*(1+'Table G'!$B$18)^10),"")</f>
        <v>211318.04076515688</v>
      </c>
    </row>
    <row r="263" spans="1:7" x14ac:dyDescent="0.2">
      <c r="A263" s="8">
        <f>-0.1+259*$B$2</f>
        <v>0.159</v>
      </c>
      <c r="B263" s="17">
        <f>IFERROR(('Table G'!$B$14+'Table G'!$B$15)/(1+'Table G'!$B$18)*IF(ABS(((1+$A263)/(1+'Table G'!$B$18))-1)&lt;0.000000001,5,(1-((1+$A263)/(1+'Table G'!$B$18))^5)/(1-((1+$A263)/(1+'Table G'!$B$18))))+('Table G'!$B$14+'Table G'!$B$15)*(1+$A263)^(5-1)*(1+'Table G'!$B$25)/(('Table G'!$B$18-'Table G'!$B$25)*(1+'Table G'!$B$18)^5),"")</f>
        <v>115005.10311934656</v>
      </c>
      <c r="C263" s="17">
        <f>IFERROR(('Table G'!$B$14+'Table G'!$B$15)/(1+'Table G'!$B$18)*IF(ABS(((1+$A263)/(1+'Table G'!$B$18))-1)&lt;0.000000001,10,(1-((1+$A263)/(1+'Table G'!$B$18))^10)/(1-((1+$A263)/(1+'Table G'!$B$18))))+('Table G'!$B$14+'Table G'!$B$15)*(1+$A263)^(10-1)*(1+'Table G'!$B$25)/(('Table G'!$B$18-'Table G'!$B$25)*(1+'Table G'!$B$18)^10),"")</f>
        <v>189254.98873563146</v>
      </c>
      <c r="D263" s="17">
        <f>IFERROR(('Table G'!$B$14+'Table G'!$B$15)/(1+'Table G'!$B$18)*IF(ABS(((1+$A263)/(1+'Table G'!$B$18))-1)&lt;0.000000001,5,(1-((1+$A263)/(1+'Table G'!$B$18))^5)/(1-((1+$A263)/(1+'Table G'!$B$18))))+('Table G'!$B$14+'Table G'!$B$15)*(1+$A263)^(5-1)*(1+'Table G'!$B$26)/(('Table G'!$B$18-'Table G'!$B$26)*(1+'Table G'!$B$18)^5),"")</f>
        <v>122614.53349878585</v>
      </c>
      <c r="E263" s="17">
        <f>IFERROR(('Table G'!$B$14+'Table G'!$B$15)/(1+'Table G'!$B$18)*IF(ABS(((1+$A263)/(1+'Table G'!$B$18))-1)&lt;0.000000001,10,(1-((1+$A263)/(1+'Table G'!$B$18))^10)/(1-((1+$A263)/(1+'Table G'!$B$18))))+('Table G'!$B$14+'Table G'!$B$15)*(1+$A263)^(10-1)*(1+'Table G'!$B$26)/(('Table G'!$B$18-'Table G'!$B$26)*(1+'Table G'!$B$18)^10),"")</f>
        <v>200063.27861389949</v>
      </c>
      <c r="F263" s="17">
        <f>IFERROR(('Table G'!$B$14+'Table G'!$B$15)/(1+'Table G'!$B$18)*IF(ABS(((1+$A263)/(1+'Table G'!$B$18))-1)&lt;0.000000001,5,(1-((1+$A263)/(1+'Table G'!$B$18))^5)/(1-((1+$A263)/(1+'Table G'!$B$18))))+('Table G'!$B$14+'Table G'!$B$15)*(1+$A263)^(5-1)*(1+'Table G'!$B$27)/(('Table G'!$B$18-'Table G'!$B$27)*(1+'Table G'!$B$18)^5),"")</f>
        <v>131548.6213305938</v>
      </c>
      <c r="G263" s="17">
        <f>IFERROR(('Table G'!$B$14+'Table G'!$B$15)/(1+'Table G'!$B$18)*IF(ABS(((1+$A263)/(1+'Table G'!$B$18))-1)&lt;0.000000001,10,(1-((1+$A263)/(1+'Table G'!$B$18))^10)/(1-((1+$A263)/(1+'Table G'!$B$18))))+('Table G'!$B$14+'Table G'!$B$15)*(1+$A263)^(10-1)*(1+'Table G'!$B$27)/(('Table G'!$B$18-'Table G'!$B$27)*(1+'Table G'!$B$18)^10),"")</f>
        <v>212753.08669007279</v>
      </c>
    </row>
    <row r="264" spans="1:7" x14ac:dyDescent="0.2">
      <c r="A264" s="8">
        <f>-0.1+260*$B$2</f>
        <v>0.16</v>
      </c>
      <c r="B264" s="17">
        <f>IFERROR(('Table G'!$B$14+'Table G'!$B$15)/(1+'Table G'!$B$18)*IF(ABS(((1+$A264)/(1+'Table G'!$B$18))-1)&lt;0.000000001,5,(1-((1+$A264)/(1+'Table G'!$B$18))^5)/(1-((1+$A264)/(1+'Table G'!$B$18))))+('Table G'!$B$14+'Table G'!$B$15)*(1+$A264)^(5-1)*(1+'Table G'!$B$25)/(('Table G'!$B$18-'Table G'!$B$25)*(1+'Table G'!$B$18)^5),"")</f>
        <v>115360.88566585287</v>
      </c>
      <c r="C264" s="17">
        <f>IFERROR(('Table G'!$B$14+'Table G'!$B$15)/(1+'Table G'!$B$18)*IF(ABS(((1+$A264)/(1+'Table G'!$B$18))-1)&lt;0.000000001,10,(1-((1+$A264)/(1+'Table G'!$B$18))^10)/(1-((1+$A264)/(1+'Table G'!$B$18))))+('Table G'!$B$14+'Table G'!$B$15)*(1+$A264)^(10-1)*(1+'Table G'!$B$25)/(('Table G'!$B$18-'Table G'!$B$25)*(1+'Table G'!$B$18)^10),"")</f>
        <v>190516.3171637682</v>
      </c>
      <c r="D264" s="17">
        <f>IFERROR(('Table G'!$B$14+'Table G'!$B$15)/(1+'Table G'!$B$18)*IF(ABS(((1+$A264)/(1+'Table G'!$B$18))-1)&lt;0.000000001,5,(1-((1+$A264)/(1+'Table G'!$B$18))^5)/(1-((1+$A264)/(1+'Table G'!$B$18))))+('Table G'!$B$14+'Table G'!$B$15)*(1+$A264)^(5-1)*(1+'Table G'!$B$26)/(('Table G'!$B$18-'Table G'!$B$26)*(1+'Table G'!$B$18)^5),"")</f>
        <v>122996.61210850535</v>
      </c>
      <c r="E264" s="17">
        <f>IFERROR(('Table G'!$B$14+'Table G'!$B$15)/(1+'Table G'!$B$18)*IF(ABS(((1+$A264)/(1+'Table G'!$B$18))-1)&lt;0.000000001,10,(1-((1+$A264)/(1+'Table G'!$B$18))^10)/(1-((1+$A264)/(1+'Table G'!$B$18))))+('Table G'!$B$14+'Table G'!$B$15)*(1+$A264)^(10-1)*(1+'Table G'!$B$26)/(('Table G'!$B$18-'Table G'!$B$26)*(1+'Table G'!$B$18)^10),"")</f>
        <v>201408.82706339814</v>
      </c>
      <c r="F264" s="17">
        <f>IFERROR(('Table G'!$B$14+'Table G'!$B$15)/(1+'Table G'!$B$18)*IF(ABS(((1+$A264)/(1+'Table G'!$B$18))-1)&lt;0.000000001,5,(1-((1+$A264)/(1+'Table G'!$B$18))^5)/(1-((1+$A264)/(1+'Table G'!$B$18))))+('Table G'!$B$14+'Table G'!$B$15)*(1+$A264)^(5-1)*(1+'Table G'!$B$27)/(('Table G'!$B$18-'Table G'!$B$27)*(1+'Table G'!$B$18)^5),"")</f>
        <v>131961.57364920646</v>
      </c>
      <c r="G264" s="17">
        <f>IFERROR(('Table G'!$B$14+'Table G'!$B$15)/(1+'Table G'!$B$18)*IF(ABS(((1+$A264)/(1+'Table G'!$B$18))-1)&lt;0.000000001,10,(1-((1+$A264)/(1+'Table G'!$B$18))^10)/(1-((1+$A264)/(1+'Table G'!$B$18))))+('Table G'!$B$14+'Table G'!$B$15)*(1+$A264)^(10-1)*(1+'Table G'!$B$27)/(('Table G'!$B$18-'Table G'!$B$27)*(1+'Table G'!$B$18)^10),"")</f>
        <v>214197.51626871317</v>
      </c>
    </row>
    <row r="265" spans="1:7" x14ac:dyDescent="0.2">
      <c r="A265" s="8">
        <f>-0.1+261*$B$2</f>
        <v>0.161</v>
      </c>
      <c r="B265" s="17">
        <f>IFERROR(('Table G'!$B$14+'Table G'!$B$15)/(1+'Table G'!$B$18)*IF(ABS(((1+$A265)/(1+'Table G'!$B$18))-1)&lt;0.000000001,5,(1-((1+$A265)/(1+'Table G'!$B$18))^5)/(1-((1+$A265)/(1+'Table G'!$B$18))))+('Table G'!$B$14+'Table G'!$B$15)*(1+$A265)^(5-1)*(1+'Table G'!$B$25)/(('Table G'!$B$18-'Table G'!$B$25)*(1+'Table G'!$B$18)^5),"")</f>
        <v>115717.55104371344</v>
      </c>
      <c r="C265" s="17">
        <f>IFERROR(('Table G'!$B$14+'Table G'!$B$15)/(1+'Table G'!$B$18)*IF(ABS(((1+$A265)/(1+'Table G'!$B$18))-1)&lt;0.000000001,10,(1-((1+$A265)/(1+'Table G'!$B$18))^10)/(1-((1+$A265)/(1+'Table G'!$B$18))))+('Table G'!$B$14+'Table G'!$B$15)*(1+$A265)^(10-1)*(1+'Table G'!$B$25)/(('Table G'!$B$18-'Table G'!$B$25)*(1+'Table G'!$B$18)^10),"")</f>
        <v>191785.81712665595</v>
      </c>
      <c r="D265" s="17">
        <f>IFERROR(('Table G'!$B$14+'Table G'!$B$15)/(1+'Table G'!$B$18)*IF(ABS(((1+$A265)/(1+'Table G'!$B$18))-1)&lt;0.000000001,5,(1-((1+$A265)/(1+'Table G'!$B$18))^5)/(1-((1+$A265)/(1+'Table G'!$B$18))))+('Table G'!$B$14+'Table G'!$B$15)*(1+$A265)^(5-1)*(1+'Table G'!$B$26)/(('Table G'!$B$18-'Table G'!$B$26)*(1+'Table G'!$B$18)^5),"")</f>
        <v>123379.64164465095</v>
      </c>
      <c r="E265" s="17">
        <f>IFERROR(('Table G'!$B$14+'Table G'!$B$15)/(1+'Table G'!$B$18)*IF(ABS(((1+$A265)/(1+'Table G'!$B$18))-1)&lt;0.000000001,10,(1-((1+$A265)/(1+'Table G'!$B$18))^10)/(1-((1+$A265)/(1+'Table G'!$B$18))))+('Table G'!$B$14+'Table G'!$B$15)*(1+$A265)^(10-1)*(1+'Table G'!$B$26)/(('Table G'!$B$18-'Table G'!$B$26)*(1+'Table G'!$B$18)^10),"")</f>
        <v>202763.12988263048</v>
      </c>
      <c r="F265" s="17">
        <f>IFERROR(('Table G'!$B$14+'Table G'!$B$15)/(1+'Table G'!$B$18)*IF(ABS(((1+$A265)/(1+'Table G'!$B$18))-1)&lt;0.000000001,5,(1-((1+$A265)/(1+'Table G'!$B$18))^5)/(1-((1+$A265)/(1+'Table G'!$B$18))))+('Table G'!$B$14+'Table G'!$B$15)*(1+$A265)^(5-1)*(1+'Table G'!$B$27)/(('Table G'!$B$18-'Table G'!$B$27)*(1+'Table G'!$B$18)^5),"")</f>
        <v>132375.55684337704</v>
      </c>
      <c r="G265" s="17">
        <f>IFERROR(('Table G'!$B$14+'Table G'!$B$15)/(1+'Table G'!$B$18)*IF(ABS(((1+$A265)/(1+'Table G'!$B$18))-1)&lt;0.000000001,10,(1-((1+$A265)/(1+'Table G'!$B$18))^10)/(1-((1+$A265)/(1+'Table G'!$B$18))))+('Table G'!$B$14+'Table G'!$B$15)*(1+$A265)^(10-1)*(1+'Table G'!$B$27)/(('Table G'!$B$18-'Table G'!$B$27)*(1+'Table G'!$B$18)^10),"")</f>
        <v>215651.38451258204</v>
      </c>
    </row>
    <row r="266" spans="1:7" x14ac:dyDescent="0.2">
      <c r="A266" s="8">
        <f>-0.1+262*$B$2</f>
        <v>0.16200000000000001</v>
      </c>
      <c r="B266" s="17">
        <f>IFERROR(('Table G'!$B$14+'Table G'!$B$15)/(1+'Table G'!$B$18)*IF(ABS(((1+$A266)/(1+'Table G'!$B$18))-1)&lt;0.000000001,5,(1-((1+$A266)/(1+'Table G'!$B$18))^5)/(1-((1+$A266)/(1+'Table G'!$B$18))))+('Table G'!$B$14+'Table G'!$B$15)*(1+$A266)^(5-1)*(1+'Table G'!$B$25)/(('Table G'!$B$18-'Table G'!$B$25)*(1+'Table G'!$B$18)^5),"")</f>
        <v>116075.10074113618</v>
      </c>
      <c r="C266" s="17">
        <f>IFERROR(('Table G'!$B$14+'Table G'!$B$15)/(1+'Table G'!$B$18)*IF(ABS(((1+$A266)/(1+'Table G'!$B$18))-1)&lt;0.000000001,10,(1-((1+$A266)/(1+'Table G'!$B$18))^10)/(1-((1+$A266)/(1+'Table G'!$B$18))))+('Table G'!$B$14+'Table G'!$B$15)*(1+$A266)^(10-1)*(1+'Table G'!$B$25)/(('Table G'!$B$18-'Table G'!$B$25)*(1+'Table G'!$B$18)^10),"")</f>
        <v>193063.53624889374</v>
      </c>
      <c r="D266" s="17">
        <f>IFERROR(('Table G'!$B$14+'Table G'!$B$15)/(1+'Table G'!$B$18)*IF(ABS(((1+$A266)/(1+'Table G'!$B$18))-1)&lt;0.000000001,5,(1-((1+$A266)/(1+'Table G'!$B$18))^5)/(1-((1+$A266)/(1+'Table G'!$B$18))))+('Table G'!$B$14+'Table G'!$B$15)*(1+$A266)^(5-1)*(1+'Table G'!$B$26)/(('Table G'!$B$18-'Table G'!$B$26)*(1+'Table G'!$B$18)^5),"")</f>
        <v>123763.62371288642</v>
      </c>
      <c r="E266" s="17">
        <f>IFERROR(('Table G'!$B$14+'Table G'!$B$15)/(1+'Table G'!$B$18)*IF(ABS(((1+$A266)/(1+'Table G'!$B$18))-1)&lt;0.000000001,10,(1-((1+$A266)/(1+'Table G'!$B$18))^10)/(1-((1+$A266)/(1+'Table G'!$B$18))))+('Table G'!$B$14+'Table G'!$B$15)*(1+$A266)^(10-1)*(1+'Table G'!$B$26)/(('Table G'!$B$18-'Table G'!$B$26)*(1+'Table G'!$B$18)^10),"")</f>
        <v>204126.23822240965</v>
      </c>
      <c r="F266" s="17">
        <f>IFERROR(('Table G'!$B$14+'Table G'!$B$15)/(1+'Table G'!$B$18)*IF(ABS(((1+$A266)/(1+'Table G'!$B$18))-1)&lt;0.000000001,5,(1-((1+$A266)/(1+'Table G'!$B$18))^5)/(1-((1+$A266)/(1+'Table G'!$B$18))))+('Table G'!$B$14+'Table G'!$B$15)*(1+$A266)^(5-1)*(1+'Table G'!$B$27)/(('Table G'!$B$18-'Table G'!$B$27)*(1+'Table G'!$B$18)^5),"")</f>
        <v>132790.57265667207</v>
      </c>
      <c r="G266" s="17">
        <f>IFERROR(('Table G'!$B$14+'Table G'!$B$15)/(1+'Table G'!$B$18)*IF(ABS(((1+$A266)/(1+'Table G'!$B$18))-1)&lt;0.000000001,10,(1-((1+$A266)/(1+'Table G'!$B$18))^10)/(1-((1+$A266)/(1+'Table G'!$B$18))))+('Table G'!$B$14+'Table G'!$B$15)*(1+$A266)^(10-1)*(1+'Table G'!$B$27)/(('Table G'!$B$18-'Table G'!$B$27)*(1+'Table G'!$B$18)^10),"")</f>
        <v>217114.74671255361</v>
      </c>
    </row>
    <row r="267" spans="1:7" x14ac:dyDescent="0.2">
      <c r="A267" s="8">
        <f>-0.1+263*$B$2</f>
        <v>0.16300000000000001</v>
      </c>
      <c r="B267" s="17">
        <f>IFERROR(('Table G'!$B$14+'Table G'!$B$15)/(1+'Table G'!$B$18)*IF(ABS(((1+$A267)/(1+'Table G'!$B$18))-1)&lt;0.000000001,5,(1-((1+$A267)/(1+'Table G'!$B$18))^5)/(1-((1+$A267)/(1+'Table G'!$B$18))))+('Table G'!$B$14+'Table G'!$B$15)*(1+$A267)^(5-1)*(1+'Table G'!$B$25)/(('Table G'!$B$18-'Table G'!$B$25)*(1+'Table G'!$B$18)^5),"")</f>
        <v>116433.53624759319</v>
      </c>
      <c r="C267" s="17">
        <f>IFERROR(('Table G'!$B$14+'Table G'!$B$15)/(1+'Table G'!$B$18)*IF(ABS(((1+$A267)/(1+'Table G'!$B$18))-1)&lt;0.000000001,10,(1-((1+$A267)/(1+'Table G'!$B$18))^10)/(1-((1+$A267)/(1+'Table G'!$B$18))))+('Table G'!$B$14+'Table G'!$B$15)*(1+$A267)^(10-1)*(1+'Table G'!$B$25)/(('Table G'!$B$18-'Table G'!$B$25)*(1+'Table G'!$B$18)^10),"")</f>
        <v>194349.52239591995</v>
      </c>
      <c r="D267" s="17">
        <f>IFERROR(('Table G'!$B$14+'Table G'!$B$15)/(1+'Table G'!$B$18)*IF(ABS(((1+$A267)/(1+'Table G'!$B$18))-1)&lt;0.000000001,5,(1-((1+$A267)/(1+'Table G'!$B$18))^5)/(1-((1+$A267)/(1+'Table G'!$B$18))))+('Table G'!$B$14+'Table G'!$B$15)*(1+$A267)^(5-1)*(1+'Table G'!$B$26)/(('Table G'!$B$18-'Table G'!$B$26)*(1+'Table G'!$B$18)^5),"")</f>
        <v>124148.55992024102</v>
      </c>
      <c r="E267" s="17">
        <f>IFERROR(('Table G'!$B$14+'Table G'!$B$15)/(1+'Table G'!$B$18)*IF(ABS(((1+$A267)/(1+'Table G'!$B$18))-1)&lt;0.000000001,10,(1-((1+$A267)/(1+'Table G'!$B$18))^10)/(1-((1+$A267)/(1+'Table G'!$B$18))))+('Table G'!$B$14+'Table G'!$B$15)*(1+$A267)^(10-1)*(1+'Table G'!$B$26)/(('Table G'!$B$18-'Table G'!$B$26)*(1+'Table G'!$B$18)^10),"")</f>
        <v>205498.20349265856</v>
      </c>
      <c r="F267" s="17">
        <f>IFERROR(('Table G'!$B$14+'Table G'!$B$15)/(1+'Table G'!$B$18)*IF(ABS(((1+$A267)/(1+'Table G'!$B$18))-1)&lt;0.000000001,5,(1-((1+$A267)/(1+'Table G'!$B$18))^5)/(1-((1+$A267)/(1+'Table G'!$B$18))))+('Table G'!$B$14+'Table G'!$B$15)*(1+$A267)^(5-1)*(1+'Table G'!$B$27)/(('Table G'!$B$18-'Table G'!$B$27)*(1+'Table G'!$B$18)^5),"")</f>
        <v>133206.62283414236</v>
      </c>
      <c r="G267" s="17">
        <f>IFERROR(('Table G'!$B$14+'Table G'!$B$15)/(1+'Table G'!$B$18)*IF(ABS(((1+$A267)/(1+'Table G'!$B$18))-1)&lt;0.000000001,10,(1-((1+$A267)/(1+'Table G'!$B$18))^10)/(1-((1+$A267)/(1+'Table G'!$B$18))))+('Table G'!$B$14+'Table G'!$B$15)*(1+$A267)^(10-1)*(1+'Table G'!$B$27)/(('Table G'!$B$18-'Table G'!$B$27)*(1+'Table G'!$B$18)^10),"")</f>
        <v>218587.65844006281</v>
      </c>
    </row>
    <row r="268" spans="1:7" x14ac:dyDescent="0.2">
      <c r="A268" s="8">
        <f>-0.1+264*$B$2</f>
        <v>0.16400000000000001</v>
      </c>
      <c r="B268" s="17">
        <f>IFERROR(('Table G'!$B$14+'Table G'!$B$15)/(1+'Table G'!$B$18)*IF(ABS(((1+$A268)/(1+'Table G'!$B$18))-1)&lt;0.000000001,5,(1-((1+$A268)/(1+'Table G'!$B$18))^5)/(1-((1+$A268)/(1+'Table G'!$B$18))))+('Table G'!$B$14+'Table G'!$B$15)*(1+$A268)^(5-1)*(1+'Table G'!$B$25)/(('Table G'!$B$18-'Table G'!$B$25)*(1+'Table G'!$B$18)^5),"")</f>
        <v>116792.8590538203</v>
      </c>
      <c r="C268" s="17">
        <f>IFERROR(('Table G'!$B$14+'Table G'!$B$15)/(1+'Table G'!$B$18)*IF(ABS(((1+$A268)/(1+'Table G'!$B$18))-1)&lt;0.000000001,10,(1-((1+$A268)/(1+'Table G'!$B$18))^10)/(1-((1+$A268)/(1+'Table G'!$B$18))))+('Table G'!$B$14+'Table G'!$B$15)*(1+$A268)^(10-1)*(1+'Table G'!$B$25)/(('Table G'!$B$18-'Table G'!$B$25)*(1+'Table G'!$B$18)^10),"")</f>
        <v>195643.82367503148</v>
      </c>
      <c r="D268" s="17">
        <f>IFERROR(('Table G'!$B$14+'Table G'!$B$15)/(1+'Table G'!$B$18)*IF(ABS(((1+$A268)/(1+'Table G'!$B$18))-1)&lt;0.000000001,5,(1-((1+$A268)/(1+'Table G'!$B$18))^5)/(1-((1+$A268)/(1+'Table G'!$B$18))))+('Table G'!$B$14+'Table G'!$B$15)*(1+$A268)^(5-1)*(1+'Table G'!$B$26)/(('Table G'!$B$18-'Table G'!$B$26)*(1+'Table G'!$B$18)^5),"")</f>
        <v>124534.45187510882</v>
      </c>
      <c r="E268" s="17">
        <f>IFERROR(('Table G'!$B$14+'Table G'!$B$15)/(1+'Table G'!$B$18)*IF(ABS(((1+$A268)/(1+'Table G'!$B$18))-1)&lt;0.000000001,10,(1-((1+$A268)/(1+'Table G'!$B$18))^10)/(1-((1+$A268)/(1+'Table G'!$B$18))))+('Table G'!$B$14+'Table G'!$B$15)*(1+$A268)^(10-1)*(1+'Table G'!$B$26)/(('Table G'!$B$18-'Table G'!$B$26)*(1+'Table G'!$B$18)^10),"")</f>
        <v>206879.07736350794</v>
      </c>
      <c r="F268" s="17">
        <f>IFERROR(('Table G'!$B$14+'Table G'!$B$15)/(1+'Table G'!$B$18)*IF(ABS(((1+$A268)/(1+'Table G'!$B$18))-1)&lt;0.000000001,5,(1-((1+$A268)/(1+'Table G'!$B$18))^5)/(1-((1+$A268)/(1+'Table G'!$B$18))))+('Table G'!$B$14+'Table G'!$B$15)*(1+$A268)^(5-1)*(1+'Table G'!$B$27)/(('Table G'!$B$18-'Table G'!$B$27)*(1+'Table G'!$B$18)^5),"")</f>
        <v>133623.70912232238</v>
      </c>
      <c r="G268" s="17">
        <f>IFERROR(('Table G'!$B$14+'Table G'!$B$15)/(1+'Table G'!$B$18)*IF(ABS(((1+$A268)/(1+'Table G'!$B$18))-1)&lt;0.000000001,10,(1-((1+$A268)/(1+'Table G'!$B$18))^10)/(1-((1+$A268)/(1+'Table G'!$B$18))))+('Table G'!$B$14+'Table G'!$B$15)*(1+$A268)^(10-1)*(1+'Table G'!$B$27)/(('Table G'!$B$18-'Table G'!$B$27)*(1+'Table G'!$B$18)^10),"")</f>
        <v>220070.17554829607</v>
      </c>
    </row>
    <row r="269" spans="1:7" x14ac:dyDescent="0.2">
      <c r="A269" s="8">
        <f>-0.1+265*$B$2</f>
        <v>0.16500000000000001</v>
      </c>
      <c r="B269" s="17">
        <f>IFERROR(('Table G'!$B$14+'Table G'!$B$15)/(1+'Table G'!$B$18)*IF(ABS(((1+$A269)/(1+'Table G'!$B$18))-1)&lt;0.000000001,5,(1-((1+$A269)/(1+'Table G'!$B$18))^5)/(1-((1+$A269)/(1+'Table G'!$B$18))))+('Table G'!$B$14+'Table G'!$B$15)*(1+$A269)^(5-1)*(1+'Table G'!$B$25)/(('Table G'!$B$18-'Table G'!$B$25)*(1+'Table G'!$B$18)^5),"")</f>
        <v>117153.07065181769</v>
      </c>
      <c r="C269" s="17">
        <f>IFERROR(('Table G'!$B$14+'Table G'!$B$15)/(1+'Table G'!$B$18)*IF(ABS(((1+$A269)/(1+'Table G'!$B$18))-1)&lt;0.000000001,10,(1-((1+$A269)/(1+'Table G'!$B$18))^10)/(1-((1+$A269)/(1+'Table G'!$B$18))))+('Table G'!$B$14+'Table G'!$B$15)*(1+$A269)^(10-1)*(1+'Table G'!$B$25)/(('Table G'!$B$18-'Table G'!$B$25)*(1+'Table G'!$B$18)^10),"")</f>
        <v>196946.48843641087</v>
      </c>
      <c r="D269" s="17">
        <f>IFERROR(('Table G'!$B$14+'Table G'!$B$15)/(1+'Table G'!$B$18)*IF(ABS(((1+$A269)/(1+'Table G'!$B$18))-1)&lt;0.000000001,5,(1-((1+$A269)/(1+'Table G'!$B$18))^5)/(1-((1+$A269)/(1+'Table G'!$B$18))))+('Table G'!$B$14+'Table G'!$B$15)*(1+$A269)^(5-1)*(1+'Table G'!$B$26)/(('Table G'!$B$18-'Table G'!$B$26)*(1+'Table G'!$B$18)^5),"")</f>
        <v>124921.30118724957</v>
      </c>
      <c r="E269" s="17">
        <f>IFERROR(('Table G'!$B$14+'Table G'!$B$15)/(1+'Table G'!$B$18)*IF(ABS(((1+$A269)/(1+'Table G'!$B$18))-1)&lt;0.000000001,10,(1-((1+$A269)/(1+'Table G'!$B$18))^10)/(1-((1+$A269)/(1+'Table G'!$B$18))))+('Table G'!$B$14+'Table G'!$B$15)*(1+$A269)^(10-1)*(1+'Table G'!$B$26)/(('Table G'!$B$18-'Table G'!$B$26)*(1+'Table G'!$B$18)^10),"")</f>
        <v>208268.9117664026</v>
      </c>
      <c r="F269" s="17">
        <f>IFERROR(('Table G'!$B$14+'Table G'!$B$15)/(1+'Table G'!$B$18)*IF(ABS(((1+$A269)/(1+'Table G'!$B$18))-1)&lt;0.000000001,5,(1-((1+$A269)/(1+'Table G'!$B$18))^5)/(1-((1+$A269)/(1+'Table G'!$B$18))))+('Table G'!$B$14+'Table G'!$B$15)*(1+$A269)^(5-1)*(1+'Table G'!$B$27)/(('Table G'!$B$18-'Table G'!$B$27)*(1+'Table G'!$B$18)^5),"")</f>
        <v>134041.83326923111</v>
      </c>
      <c r="G269" s="17">
        <f>IFERROR(('Table G'!$B$14+'Table G'!$B$15)/(1+'Table G'!$B$18)*IF(ABS(((1+$A269)/(1+'Table G'!$B$18))-1)&lt;0.000000001,10,(1-((1+$A269)/(1+'Table G'!$B$18))^10)/(1-((1+$A269)/(1+'Table G'!$B$18))))+('Table G'!$B$14+'Table G'!$B$15)*(1+$A269)^(10-1)*(1+'Table G'!$B$27)/(('Table G'!$B$18-'Table G'!$B$27)*(1+'Table G'!$B$18)^10),"")</f>
        <v>221562.35417339022</v>
      </c>
    </row>
    <row r="270" spans="1:7" x14ac:dyDescent="0.2">
      <c r="A270" s="8">
        <f>-0.1+266*$B$2</f>
        <v>0.16600000000000001</v>
      </c>
      <c r="B270" s="17">
        <f>IFERROR(('Table G'!$B$14+'Table G'!$B$15)/(1+'Table G'!$B$18)*IF(ABS(((1+$A270)/(1+'Table G'!$B$18))-1)&lt;0.000000001,5,(1-((1+$A270)/(1+'Table G'!$B$18))^5)/(1-((1+$A270)/(1+'Table G'!$B$18))))+('Table G'!$B$14+'Table G'!$B$15)*(1+$A270)^(5-1)*(1+'Table G'!$B$25)/(('Table G'!$B$18-'Table G'!$B$25)*(1+'Table G'!$B$18)^5),"")</f>
        <v>117514.17253484926</v>
      </c>
      <c r="C270" s="17">
        <f>IFERROR(('Table G'!$B$14+'Table G'!$B$15)/(1+'Table G'!$B$18)*IF(ABS(((1+$A270)/(1+'Table G'!$B$18))-1)&lt;0.000000001,10,(1-((1+$A270)/(1+'Table G'!$B$18))^10)/(1-((1+$A270)/(1+'Table G'!$B$18))))+('Table G'!$B$14+'Table G'!$B$15)*(1+$A270)^(10-1)*(1+'Table G'!$B$25)/(('Table G'!$B$18-'Table G'!$B$25)*(1+'Table G'!$B$18)^10),"")</f>
        <v>198257.56527415224</v>
      </c>
      <c r="D270" s="17">
        <f>IFERROR(('Table G'!$B$14+'Table G'!$B$15)/(1+'Table G'!$B$18)*IF(ABS(((1+$A270)/(1+'Table G'!$B$18))-1)&lt;0.000000001,5,(1-((1+$A270)/(1+'Table G'!$B$18))^5)/(1-((1+$A270)/(1+'Table G'!$B$18))))+('Table G'!$B$14+'Table G'!$B$15)*(1+$A270)^(5-1)*(1+'Table G'!$B$26)/(('Table G'!$B$18-'Table G'!$B$26)*(1+'Table G'!$B$18)^5),"")</f>
        <v>125309.10946778787</v>
      </c>
      <c r="E270" s="17">
        <f>IFERROR(('Table G'!$B$14+'Table G'!$B$15)/(1+'Table G'!$B$18)*IF(ABS(((1+$A270)/(1+'Table G'!$B$18))-1)&lt;0.000000001,10,(1-((1+$A270)/(1+'Table G'!$B$18))^10)/(1-((1+$A270)/(1+'Table G'!$B$18))))+('Table G'!$B$14+'Table G'!$B$15)*(1+$A270)^(10-1)*(1+'Table G'!$B$26)/(('Table G'!$B$18-'Table G'!$B$26)*(1+'Table G'!$B$18)^10),"")</f>
        <v>209667.7588952067</v>
      </c>
      <c r="F270" s="17">
        <f>IFERROR(('Table G'!$B$14+'Table G'!$B$15)/(1+'Table G'!$B$18)*IF(ABS(((1+$A270)/(1+'Table G'!$B$18))-1)&lt;0.000000001,5,(1-((1+$A270)/(1+'Table G'!$B$18))^5)/(1-((1+$A270)/(1+'Table G'!$B$18))))+('Table G'!$B$14+'Table G'!$B$15)*(1+$A270)^(5-1)*(1+'Table G'!$B$27)/(('Table G'!$B$18-'Table G'!$B$27)*(1+'Table G'!$B$18)^5),"")</f>
        <v>134460.99702437117</v>
      </c>
      <c r="G270" s="17">
        <f>IFERROR(('Table G'!$B$14+'Table G'!$B$15)/(1+'Table G'!$B$18)*IF(ABS(((1+$A270)/(1+'Table G'!$B$18))-1)&lt;0.000000001,10,(1-((1+$A270)/(1+'Table G'!$B$18))^10)/(1-((1+$A270)/(1+'Table G'!$B$18))))+('Table G'!$B$14+'Table G'!$B$15)*(1+$A270)^(10-1)*(1+'Table G'!$B$27)/(('Table G'!$B$18-'Table G'!$B$27)*(1+'Table G'!$B$18)^10),"")</f>
        <v>223064.25073563107</v>
      </c>
    </row>
    <row r="271" spans="1:7" x14ac:dyDescent="0.2">
      <c r="A271" s="8">
        <f>-0.1+267*$B$2</f>
        <v>0.16700000000000001</v>
      </c>
      <c r="B271" s="17">
        <f>IFERROR(('Table G'!$B$14+'Table G'!$B$15)/(1+'Table G'!$B$18)*IF(ABS(((1+$A271)/(1+'Table G'!$B$18))-1)&lt;0.000000001,5,(1-((1+$A271)/(1+'Table G'!$B$18))^5)/(1-((1+$A271)/(1+'Table G'!$B$18))))+('Table G'!$B$14+'Table G'!$B$15)*(1+$A271)^(5-1)*(1+'Table G'!$B$25)/(('Table G'!$B$18-'Table G'!$B$25)*(1+'Table G'!$B$18)^5),"")</f>
        <v>117876.16619744329</v>
      </c>
      <c r="C271" s="17">
        <f>IFERROR(('Table G'!$B$14+'Table G'!$B$15)/(1+'Table G'!$B$18)*IF(ABS(((1+$A271)/(1+'Table G'!$B$18))-1)&lt;0.000000001,10,(1-((1+$A271)/(1+'Table G'!$B$18))^10)/(1-((1+$A271)/(1+'Table G'!$B$18))))+('Table G'!$B$14+'Table G'!$B$15)*(1+$A271)^(10-1)*(1+'Table G'!$B$25)/(('Table G'!$B$18-'Table G'!$B$25)*(1+'Table G'!$B$18)^10),"")</f>
        <v>199577.10302729593</v>
      </c>
      <c r="D271" s="17">
        <f>IFERROR(('Table G'!$B$14+'Table G'!$B$15)/(1+'Table G'!$B$18)*IF(ABS(((1+$A271)/(1+'Table G'!$B$18))-1)&lt;0.000000001,5,(1-((1+$A271)/(1+'Table G'!$B$18))^5)/(1-((1+$A271)/(1+'Table G'!$B$18))))+('Table G'!$B$14+'Table G'!$B$15)*(1+$A271)^(5-1)*(1+'Table G'!$B$26)/(('Table G'!$B$18-'Table G'!$B$26)*(1+'Table G'!$B$18)^5),"")</f>
        <v>125697.87832921399</v>
      </c>
      <c r="E271" s="17">
        <f>IFERROR(('Table G'!$B$14+'Table G'!$B$15)/(1+'Table G'!$B$18)*IF(ABS(((1+$A271)/(1+'Table G'!$B$18))-1)&lt;0.000000001,10,(1-((1+$A271)/(1+'Table G'!$B$18))^10)/(1-((1+$A271)/(1+'Table G'!$B$18))))+('Table G'!$B$14+'Table G'!$B$15)*(1+$A271)^(10-1)*(1+'Table G'!$B$26)/(('Table G'!$B$18-'Table G'!$B$26)*(1+'Table G'!$B$18)^10),"")</f>
        <v>211075.671207318</v>
      </c>
      <c r="F271" s="17">
        <f>IFERROR(('Table G'!$B$14+'Table G'!$B$15)/(1+'Table G'!$B$18)*IF(ABS(((1+$A271)/(1+'Table G'!$B$18))-1)&lt;0.000000001,5,(1-((1+$A271)/(1+'Table G'!$B$18))^5)/(1-((1+$A271)/(1+'Table G'!$B$18))))+('Table G'!$B$14+'Table G'!$B$15)*(1+$A271)^(5-1)*(1+'Table G'!$B$27)/(('Table G'!$B$18-'Table G'!$B$27)*(1+'Table G'!$B$18)^5),"")</f>
        <v>134881.20213872971</v>
      </c>
      <c r="G271" s="17">
        <f>IFERROR(('Table G'!$B$14+'Table G'!$B$15)/(1+'Table G'!$B$18)*IF(ABS(((1+$A271)/(1+'Table G'!$B$18))-1)&lt;0.000000001,10,(1-((1+$A271)/(1+'Table G'!$B$18))^10)/(1-((1+$A271)/(1+'Table G'!$B$18))))+('Table G'!$B$14+'Table G'!$B$15)*(1+$A271)^(10-1)*(1+'Table G'!$B$27)/(('Table G'!$B$18-'Table G'!$B$27)*(1+'Table G'!$B$18)^10),"")</f>
        <v>224575.92194066124</v>
      </c>
    </row>
    <row r="272" spans="1:7" x14ac:dyDescent="0.2">
      <c r="A272" s="8">
        <f>-0.1+268*$B$2</f>
        <v>0.16800000000000001</v>
      </c>
      <c r="B272" s="17">
        <f>IFERROR(('Table G'!$B$14+'Table G'!$B$15)/(1+'Table G'!$B$18)*IF(ABS(((1+$A272)/(1+'Table G'!$B$18))-1)&lt;0.000000001,5,(1-((1+$A272)/(1+'Table G'!$B$18))^5)/(1-((1+$A272)/(1+'Table G'!$B$18))))+('Table G'!$B$14+'Table G'!$B$15)*(1+$A272)^(5-1)*(1+'Table G'!$B$25)/(('Table G'!$B$18-'Table G'!$B$25)*(1+'Table G'!$B$18)^5),"")</f>
        <v>118239.05313539169</v>
      </c>
      <c r="C272" s="17">
        <f>IFERROR(('Table G'!$B$14+'Table G'!$B$15)/(1+'Table G'!$B$18)*IF(ABS(((1+$A272)/(1+'Table G'!$B$18))-1)&lt;0.000000001,10,(1-((1+$A272)/(1+'Table G'!$B$18))^10)/(1-((1+$A272)/(1+'Table G'!$B$18))))+('Table G'!$B$14+'Table G'!$B$15)*(1+$A272)^(10-1)*(1+'Table G'!$B$25)/(('Table G'!$B$18-'Table G'!$B$25)*(1+'Table G'!$B$18)^10),"")</f>
        <v>200905.1507808608</v>
      </c>
      <c r="D272" s="17">
        <f>IFERROR(('Table G'!$B$14+'Table G'!$B$15)/(1+'Table G'!$B$18)*IF(ABS(((1+$A272)/(1+'Table G'!$B$18))-1)&lt;0.000000001,5,(1-((1+$A272)/(1+'Table G'!$B$18))^5)/(1-((1+$A272)/(1+'Table G'!$B$18))))+('Table G'!$B$14+'Table G'!$B$15)*(1+$A272)^(5-1)*(1+'Table G'!$B$26)/(('Table G'!$B$18-'Table G'!$B$26)*(1+'Table G'!$B$18)^5),"")</f>
        <v>126087.60938538295</v>
      </c>
      <c r="E272" s="17">
        <f>IFERROR(('Table G'!$B$14+'Table G'!$B$15)/(1+'Table G'!$B$18)*IF(ABS(((1+$A272)/(1+'Table G'!$B$18))-1)&lt;0.000000001,10,(1-((1+$A272)/(1+'Table G'!$B$18))^10)/(1-((1+$A272)/(1+'Table G'!$B$18))))+('Table G'!$B$14+'Table G'!$B$15)*(1+$A272)^(10-1)*(1+'Table G'!$B$26)/(('Table G'!$B$18-'Table G'!$B$26)*(1+'Table G'!$B$18)^10),"")</f>
        <v>212492.70142478007</v>
      </c>
      <c r="F272" s="17">
        <f>IFERROR(('Table G'!$B$14+'Table G'!$B$15)/(1+'Table G'!$B$18)*IF(ABS(((1+$A272)/(1+'Table G'!$B$18))-1)&lt;0.000000001,5,(1-((1+$A272)/(1+'Table G'!$B$18))^5)/(1-((1+$A272)/(1+'Table G'!$B$18))))+('Table G'!$B$14+'Table G'!$B$15)*(1+$A272)^(5-1)*(1+'Table G'!$B$27)/(('Table G'!$B$18-'Table G'!$B$27)*(1+'Table G'!$B$18)^5),"")</f>
        <v>135302.4503647775</v>
      </c>
      <c r="G272" s="17">
        <f>IFERROR(('Table G'!$B$14+'Table G'!$B$15)/(1+'Table G'!$B$18)*IF(ABS(((1+$A272)/(1+'Table G'!$B$18))-1)&lt;0.000000001,10,(1-((1+$A272)/(1+'Table G'!$B$18))^10)/(1-((1+$A272)/(1+'Table G'!$B$18))))+('Table G'!$B$14+'Table G'!$B$15)*(1+$A272)^(10-1)*(1+'Table G'!$B$27)/(('Table G'!$B$18-'Table G'!$B$27)*(1+'Table G'!$B$18)^10),"")</f>
        <v>226097.42478068592</v>
      </c>
    </row>
    <row r="273" spans="1:7" x14ac:dyDescent="0.2">
      <c r="A273" s="8">
        <f>-0.1+269*$B$2</f>
        <v>0.16900000000000001</v>
      </c>
      <c r="B273" s="17">
        <f>IFERROR(('Table G'!$B$14+'Table G'!$B$15)/(1+'Table G'!$B$18)*IF(ABS(((1+$A273)/(1+'Table G'!$B$18))-1)&lt;0.000000001,5,(1-((1+$A273)/(1+'Table G'!$B$18))^5)/(1-((1+$A273)/(1+'Table G'!$B$18))))+('Table G'!$B$14+'Table G'!$B$15)*(1+$A273)^(5-1)*(1+'Table G'!$B$25)/(('Table G'!$B$18-'Table G'!$B$25)*(1+'Table G'!$B$18)^5),"")</f>
        <v>118602.83484575065</v>
      </c>
      <c r="C273" s="17">
        <f>IFERROR(('Table G'!$B$14+'Table G'!$B$15)/(1+'Table G'!$B$18)*IF(ABS(((1+$A273)/(1+'Table G'!$B$18))-1)&lt;0.000000001,10,(1-((1+$A273)/(1+'Table G'!$B$18))^10)/(1-((1+$A273)/(1+'Table G'!$B$18))))+('Table G'!$B$14+'Table G'!$B$15)*(1+$A273)^(10-1)*(1+'Table G'!$B$25)/(('Table G'!$B$18-'Table G'!$B$25)*(1+'Table G'!$B$18)^10),"")</f>
        <v>202241.75786688554</v>
      </c>
      <c r="D273" s="17">
        <f>IFERROR(('Table G'!$B$14+'Table G'!$B$15)/(1+'Table G'!$B$18)*IF(ABS(((1+$A273)/(1+'Table G'!$B$18))-1)&lt;0.000000001,5,(1-((1+$A273)/(1+'Table G'!$B$18))^5)/(1-((1+$A273)/(1+'Table G'!$B$18))))+('Table G'!$B$14+'Table G'!$B$15)*(1+$A273)^(5-1)*(1+'Table G'!$B$26)/(('Table G'!$B$18-'Table G'!$B$26)*(1+'Table G'!$B$18)^5),"")</f>
        <v>126478.30425151532</v>
      </c>
      <c r="E273" s="17">
        <f>IFERROR(('Table G'!$B$14+'Table G'!$B$15)/(1+'Table G'!$B$18)*IF(ABS(((1+$A273)/(1+'Table G'!$B$18))-1)&lt;0.000000001,10,(1-((1+$A273)/(1+'Table G'!$B$18))^10)/(1-((1+$A273)/(1+'Table G'!$B$18))))+('Table G'!$B$14+'Table G'!$B$15)*(1+$A273)^(10-1)*(1+'Table G'!$B$26)/(('Table G'!$B$18-'Table G'!$B$26)*(1+'Table G'!$B$18)^10),"")</f>
        <v>213918.9025354037</v>
      </c>
      <c r="F273" s="17">
        <f>IFERROR(('Table G'!$B$14+'Table G'!$B$15)/(1+'Table G'!$B$18)*IF(ABS(((1+$A273)/(1+'Table G'!$B$18))-1)&lt;0.000000001,5,(1-((1+$A273)/(1+'Table G'!$B$18))^5)/(1-((1+$A273)/(1+'Table G'!$B$18))))+('Table G'!$B$14+'Table G'!$B$15)*(1+$A273)^(5-1)*(1+'Table G'!$B$27)/(('Table G'!$B$18-'Table G'!$B$27)*(1+'Table G'!$B$18)^5),"")</f>
        <v>135724.74345646965</v>
      </c>
      <c r="G273" s="17">
        <f>IFERROR(('Table G'!$B$14+'Table G'!$B$15)/(1+'Table G'!$B$18)*IF(ABS(((1+$A273)/(1+'Table G'!$B$18))-1)&lt;0.000000001,10,(1-((1+$A273)/(1+'Table G'!$B$18))^10)/(1-((1+$A273)/(1+'Table G'!$B$18))))+('Table G'!$B$14+'Table G'!$B$15)*(1+$A273)^(10-1)*(1+'Table G'!$B$27)/(('Table G'!$B$18-'Table G'!$B$27)*(1+'Table G'!$B$18)^10),"")</f>
        <v>227628.81653568879</v>
      </c>
    </row>
    <row r="274" spans="1:7" x14ac:dyDescent="0.2">
      <c r="A274" s="8">
        <f>-0.1+270*$B$2</f>
        <v>0.17</v>
      </c>
      <c r="B274" s="17">
        <f>IFERROR(('Table G'!$B$14+'Table G'!$B$15)/(1+'Table G'!$B$18)*IF(ABS(((1+$A274)/(1+'Table G'!$B$18))-1)&lt;0.000000001,5,(1-((1+$A274)/(1+'Table G'!$B$18))^5)/(1-((1+$A274)/(1+'Table G'!$B$18))))+('Table G'!$B$14+'Table G'!$B$15)*(1+$A274)^(5-1)*(1+'Table G'!$B$25)/(('Table G'!$B$18-'Table G'!$B$25)*(1+'Table G'!$B$18)^5),"")</f>
        <v>118967.51282684022</v>
      </c>
      <c r="C274" s="17">
        <f>IFERROR(('Table G'!$B$14+'Table G'!$B$15)/(1+'Table G'!$B$18)*IF(ABS(((1+$A274)/(1+'Table G'!$B$18))-1)&lt;0.000000001,10,(1-((1+$A274)/(1+'Table G'!$B$18))^10)/(1-((1+$A274)/(1+'Table G'!$B$18))))+('Table G'!$B$14+'Table G'!$B$15)*(1+$A274)^(10-1)*(1+'Table G'!$B$25)/(('Table G'!$B$18-'Table G'!$B$25)*(1+'Table G'!$B$18)^10),"")</f>
        <v>203586.97386546907</v>
      </c>
      <c r="D274" s="17">
        <f>IFERROR(('Table G'!$B$14+'Table G'!$B$15)/(1+'Table G'!$B$18)*IF(ABS(((1+$A274)/(1+'Table G'!$B$18))-1)&lt;0.000000001,5,(1-((1+$A274)/(1+'Table G'!$B$18))^5)/(1-((1+$A274)/(1+'Table G'!$B$18))))+('Table G'!$B$14+'Table G'!$B$15)*(1+$A274)^(5-1)*(1+'Table G'!$B$26)/(('Table G'!$B$18-'Table G'!$B$26)*(1+'Table G'!$B$18)^5),"")</f>
        <v>126869.96454419673</v>
      </c>
      <c r="E274" s="17">
        <f>IFERROR(('Table G'!$B$14+'Table G'!$B$15)/(1+'Table G'!$B$18)*IF(ABS(((1+$A274)/(1+'Table G'!$B$18))-1)&lt;0.000000001,10,(1-((1+$A274)/(1+'Table G'!$B$18))^10)/(1-((1+$A274)/(1+'Table G'!$B$18))))+('Table G'!$B$14+'Table G'!$B$15)*(1+$A274)^(10-1)*(1+'Table G'!$B$26)/(('Table G'!$B$18-'Table G'!$B$26)*(1+'Table G'!$B$18)^10),"")</f>
        <v>215354.32779388811</v>
      </c>
      <c r="F274" s="17">
        <f>IFERROR(('Table G'!$B$14+'Table G'!$B$15)/(1+'Table G'!$B$18)*IF(ABS(((1+$A274)/(1+'Table G'!$B$18))-1)&lt;0.000000001,5,(1-((1+$A274)/(1+'Table G'!$B$18))^5)/(1-((1+$A274)/(1+'Table G'!$B$18))))+('Table G'!$B$14+'Table G'!$B$15)*(1+$A274)^(5-1)*(1+'Table G'!$B$27)/(('Table G'!$B$18-'Table G'!$B$27)*(1+'Table G'!$B$18)^5),"")</f>
        <v>136148.0831692451</v>
      </c>
      <c r="G274" s="17">
        <f>IFERROR(('Table G'!$B$14+'Table G'!$B$15)/(1+'Table G'!$B$18)*IF(ABS(((1+$A274)/(1+'Table G'!$B$18))-1)&lt;0.000000001,10,(1-((1+$A274)/(1+'Table G'!$B$18))^10)/(1-((1+$A274)/(1+'Table G'!$B$18))))+('Table G'!$B$14+'Table G'!$B$15)*(1+$A274)^(10-1)*(1+'Table G'!$B$27)/(('Table G'!$B$18-'Table G'!$B$27)*(1+'Table G'!$B$18)^10),"")</f>
        <v>229170.15477464729</v>
      </c>
    </row>
    <row r="275" spans="1:7" x14ac:dyDescent="0.2">
      <c r="A275" s="8">
        <f>-0.1+271*$B$2</f>
        <v>0.17100000000000001</v>
      </c>
      <c r="B275" s="17">
        <f>IFERROR(('Table G'!$B$14+'Table G'!$B$15)/(1+'Table G'!$B$18)*IF(ABS(((1+$A275)/(1+'Table G'!$B$18))-1)&lt;0.000000001,5,(1-((1+$A275)/(1+'Table G'!$B$18))^5)/(1-((1+$A275)/(1+'Table G'!$B$18))))+('Table G'!$B$14+'Table G'!$B$15)*(1+$A275)^(5-1)*(1+'Table G'!$B$25)/(('Table G'!$B$18-'Table G'!$B$25)*(1+'Table G'!$B$18)^5),"")</f>
        <v>119333.0885782447</v>
      </c>
      <c r="C275" s="17">
        <f>IFERROR(('Table G'!$B$14+'Table G'!$B$15)/(1+'Table G'!$B$18)*IF(ABS(((1+$A275)/(1+'Table G'!$B$18))-1)&lt;0.000000001,10,(1-((1+$A275)/(1+'Table G'!$B$18))^10)/(1-((1+$A275)/(1+'Table G'!$B$18))))+('Table G'!$B$14+'Table G'!$B$15)*(1+$A275)^(10-1)*(1+'Table G'!$B$25)/(('Table G'!$B$18-'Table G'!$B$25)*(1+'Table G'!$B$18)^10),"")</f>
        <v>204940.84860581876</v>
      </c>
      <c r="D275" s="17">
        <f>IFERROR(('Table G'!$B$14+'Table G'!$B$15)/(1+'Table G'!$B$18)*IF(ABS(((1+$A275)/(1+'Table G'!$B$18))-1)&lt;0.000000001,5,(1-((1+$A275)/(1+'Table G'!$B$18))^5)/(1-((1+$A275)/(1+'Table G'!$B$18))))+('Table G'!$B$14+'Table G'!$B$15)*(1+$A275)^(5-1)*(1+'Table G'!$B$26)/(('Table G'!$B$18-'Table G'!$B$26)*(1+'Table G'!$B$18)^5),"")</f>
        <v>127262.59188137829</v>
      </c>
      <c r="E275" s="17">
        <f>IFERROR(('Table G'!$B$14+'Table G'!$B$15)/(1+'Table G'!$B$18)*IF(ABS(((1+$A275)/(1+'Table G'!$B$18))-1)&lt;0.000000001,10,(1-((1+$A275)/(1+'Table G'!$B$18))^10)/(1-((1+$A275)/(1+'Table G'!$B$18))))+('Table G'!$B$14+'Table G'!$B$15)*(1+$A275)^(10-1)*(1+'Table G'!$B$26)/(('Table G'!$B$18-'Table G'!$B$26)*(1+'Table G'!$B$18)^10),"")</f>
        <v>216799.03072294948</v>
      </c>
      <c r="F275" s="17">
        <f>IFERROR(('Table G'!$B$14+'Table G'!$B$15)/(1+'Table G'!$B$18)*IF(ABS(((1+$A275)/(1+'Table G'!$B$18))-1)&lt;0.000000001,5,(1-((1+$A275)/(1+'Table G'!$B$18))^5)/(1-((1+$A275)/(1+'Table G'!$B$18))))+('Table G'!$B$14+'Table G'!$B$15)*(1+$A275)^(5-1)*(1+'Table G'!$B$27)/(('Table G'!$B$18-'Table G'!$B$27)*(1+'Table G'!$B$18)^5),"")</f>
        <v>136572.47126002723</v>
      </c>
      <c r="G275" s="17">
        <f>IFERROR(('Table G'!$B$14+'Table G'!$B$15)/(1+'Table G'!$B$18)*IF(ABS(((1+$A275)/(1+'Table G'!$B$18))-1)&lt;0.000000001,10,(1-((1+$A275)/(1+'Table G'!$B$18))^10)/(1-((1+$A275)/(1+'Table G'!$B$18))))+('Table G'!$B$14+'Table G'!$B$15)*(1+$A275)^(10-1)*(1+'Table G'!$B$27)/(('Table G'!$B$18-'Table G'!$B$27)*(1+'Table G'!$B$18)^10),"")</f>
        <v>230721.49735675636</v>
      </c>
    </row>
    <row r="276" spans="1:7" x14ac:dyDescent="0.2">
      <c r="A276" s="8">
        <f>-0.1+272*$B$2</f>
        <v>0.17200000000000001</v>
      </c>
      <c r="B276" s="17">
        <f>IFERROR(('Table G'!$B$14+'Table G'!$B$15)/(1+'Table G'!$B$18)*IF(ABS(((1+$A276)/(1+'Table G'!$B$18))-1)&lt;0.000000001,5,(1-((1+$A276)/(1+'Table G'!$B$18))^5)/(1-((1+$A276)/(1+'Table G'!$B$18))))+('Table G'!$B$14+'Table G'!$B$15)*(1+$A276)^(5-1)*(1+'Table G'!$B$25)/(('Table G'!$B$18-'Table G'!$B$25)*(1+'Table G'!$B$18)^5),"")</f>
        <v>119699.56360081208</v>
      </c>
      <c r="C276" s="17">
        <f>IFERROR(('Table G'!$B$14+'Table G'!$B$15)/(1+'Table G'!$B$18)*IF(ABS(((1+$A276)/(1+'Table G'!$B$18))-1)&lt;0.000000001,10,(1-((1+$A276)/(1+'Table G'!$B$18))^10)/(1-((1+$A276)/(1+'Table G'!$B$18))))+('Table G'!$B$14+'Table G'!$B$15)*(1+$A276)^(10-1)*(1+'Table G'!$B$25)/(('Table G'!$B$18-'Table G'!$B$25)*(1+'Table G'!$B$18)^10),"")</f>
        <v>206303.43216729653</v>
      </c>
      <c r="D276" s="17">
        <f>IFERROR(('Table G'!$B$14+'Table G'!$B$15)/(1+'Table G'!$B$18)*IF(ABS(((1+$A276)/(1+'Table G'!$B$18))-1)&lt;0.000000001,5,(1-((1+$A276)/(1+'Table G'!$B$18))^5)/(1-((1+$A276)/(1+'Table G'!$B$18))))+('Table G'!$B$14+'Table G'!$B$15)*(1+$A276)^(5-1)*(1+'Table G'!$B$26)/(('Table G'!$B$18-'Table G'!$B$26)*(1+'Table G'!$B$18)^5),"")</f>
        <v>127656.18788237596</v>
      </c>
      <c r="E276" s="17">
        <f>IFERROR(('Table G'!$B$14+'Table G'!$B$15)/(1+'Table G'!$B$18)*IF(ABS(((1+$A276)/(1+'Table G'!$B$18))-1)&lt;0.000000001,10,(1-((1+$A276)/(1+'Table G'!$B$18))^10)/(1-((1+$A276)/(1+'Table G'!$B$18))))+('Table G'!$B$14+'Table G'!$B$15)*(1+$A276)^(10-1)*(1+'Table G'!$B$26)/(('Table G'!$B$18-'Table G'!$B$26)*(1+'Table G'!$B$18)^10),"")</f>
        <v>218253.06511444825</v>
      </c>
      <c r="F276" s="17">
        <f>IFERROR(('Table G'!$B$14+'Table G'!$B$15)/(1+'Table G'!$B$18)*IF(ABS(((1+$A276)/(1+'Table G'!$B$18))-1)&lt;0.000000001,5,(1-((1+$A276)/(1+'Table G'!$B$18))^5)/(1-((1+$A276)/(1+'Table G'!$B$18))))+('Table G'!$B$14+'Table G'!$B$15)*(1+$A276)^(5-1)*(1+'Table G'!$B$27)/(('Table G'!$B$18-'Table G'!$B$27)*(1+'Table G'!$B$18)^5),"")</f>
        <v>136997.90948722302</v>
      </c>
      <c r="G276" s="17">
        <f>IFERROR(('Table G'!$B$14+'Table G'!$B$15)/(1+'Table G'!$B$18)*IF(ABS(((1+$A276)/(1+'Table G'!$B$18))-1)&lt;0.000000001,10,(1-((1+$A276)/(1+'Table G'!$B$18))^10)/(1-((1+$A276)/(1+'Table G'!$B$18))))+('Table G'!$B$14+'Table G'!$B$15)*(1+$A276)^(10-1)*(1+'Table G'!$B$27)/(('Table G'!$B$18-'Table G'!$B$27)*(1+'Table G'!$B$18)^10),"")</f>
        <v>232282.90243265056</v>
      </c>
    </row>
    <row r="277" spans="1:7" x14ac:dyDescent="0.2">
      <c r="A277" s="8">
        <f>-0.1+273*$B$2</f>
        <v>0.17300000000000001</v>
      </c>
      <c r="B277" s="17">
        <f>IFERROR(('Table G'!$B$14+'Table G'!$B$15)/(1+'Table G'!$B$18)*IF(ABS(((1+$A277)/(1+'Table G'!$B$18))-1)&lt;0.000000001,5,(1-((1+$A277)/(1+'Table G'!$B$18))^5)/(1-((1+$A277)/(1+'Table G'!$B$18))))+('Table G'!$B$14+'Table G'!$B$15)*(1+$A277)^(5-1)*(1+'Table G'!$B$25)/(('Table G'!$B$18-'Table G'!$B$25)*(1+'Table G'!$B$18)^5),"")</f>
        <v>120066.93939665466</v>
      </c>
      <c r="C277" s="17">
        <f>IFERROR(('Table G'!$B$14+'Table G'!$B$15)/(1+'Table G'!$B$18)*IF(ABS(((1+$A277)/(1+'Table G'!$B$18))-1)&lt;0.000000001,10,(1-((1+$A277)/(1+'Table G'!$B$18))^10)/(1-((1+$A277)/(1+'Table G'!$B$18))))+('Table G'!$B$14+'Table G'!$B$15)*(1+$A277)^(10-1)*(1+'Table G'!$B$25)/(('Table G'!$B$18-'Table G'!$B$25)*(1+'Table G'!$B$18)^10),"")</f>
        <v>207674.7748804756</v>
      </c>
      <c r="D277" s="17">
        <f>IFERROR(('Table G'!$B$14+'Table G'!$B$15)/(1+'Table G'!$B$18)*IF(ABS(((1+$A277)/(1+'Table G'!$B$18))-1)&lt;0.000000001,5,(1-((1+$A277)/(1+'Table G'!$B$18))^5)/(1-((1+$A277)/(1+'Table G'!$B$18))))+('Table G'!$B$14+'Table G'!$B$15)*(1+$A277)^(5-1)*(1+'Table G'!$B$26)/(('Table G'!$B$18-'Table G'!$B$26)*(1+'Table G'!$B$18)^5),"")</f>
        <v>128050.75416787129</v>
      </c>
      <c r="E277" s="17">
        <f>IFERROR(('Table G'!$B$14+'Table G'!$B$15)/(1+'Table G'!$B$18)*IF(ABS(((1+$A277)/(1+'Table G'!$B$18))-1)&lt;0.000000001,10,(1-((1+$A277)/(1+'Table G'!$B$18))^10)/(1-((1+$A277)/(1+'Table G'!$B$18))))+('Table G'!$B$14+'Table G'!$B$15)*(1+$A277)^(10-1)*(1+'Table G'!$B$26)/(('Table G'!$B$18-'Table G'!$B$26)*(1+'Table G'!$B$18)^10),"")</f>
        <v>219716.48503052723</v>
      </c>
      <c r="F277" s="17">
        <f>IFERROR(('Table G'!$B$14+'Table G'!$B$15)/(1+'Table G'!$B$18)*IF(ABS(((1+$A277)/(1+'Table G'!$B$18))-1)&lt;0.000000001,5,(1-((1+$A277)/(1+'Table G'!$B$18))^5)/(1-((1+$A277)/(1+'Table G'!$B$18))))+('Table G'!$B$14+'Table G'!$B$15)*(1+$A277)^(5-1)*(1+'Table G'!$B$27)/(('Table G'!$B$18-'Table G'!$B$27)*(1+'Table G'!$B$18)^5),"")</f>
        <v>137424.39961072386</v>
      </c>
      <c r="G277" s="17">
        <f>IFERROR(('Table G'!$B$14+'Table G'!$B$15)/(1+'Table G'!$B$18)*IF(ABS(((1+$A277)/(1+'Table G'!$B$18))-1)&lt;0.000000001,10,(1-((1+$A277)/(1+'Table G'!$B$18))^10)/(1-((1+$A277)/(1+'Table G'!$B$18))))+('Table G'!$B$14+'Table G'!$B$15)*(1+$A277)^(10-1)*(1+'Table G'!$B$27)/(('Table G'!$B$18-'Table G'!$B$27)*(1+'Table G'!$B$18)^10),"")</f>
        <v>233854.42844563763</v>
      </c>
    </row>
    <row r="278" spans="1:7" x14ac:dyDescent="0.2">
      <c r="A278" s="8">
        <f>-0.1+274*$B$2</f>
        <v>0.17400000000000002</v>
      </c>
      <c r="B278" s="17">
        <f>IFERROR(('Table G'!$B$14+'Table G'!$B$15)/(1+'Table G'!$B$18)*IF(ABS(((1+$A278)/(1+'Table G'!$B$18))-1)&lt;0.000000001,5,(1-((1+$A278)/(1+'Table G'!$B$18))^5)/(1-((1+$A278)/(1+'Table G'!$B$18))))+('Table G'!$B$14+'Table G'!$B$15)*(1+$A278)^(5-1)*(1+'Table G'!$B$25)/(('Table G'!$B$18-'Table G'!$B$25)*(1+'Table G'!$B$18)^5),"")</f>
        <v>120435.2174691486</v>
      </c>
      <c r="C278" s="17">
        <f>IFERROR(('Table G'!$B$14+'Table G'!$B$15)/(1+'Table G'!$B$18)*IF(ABS(((1+$A278)/(1+'Table G'!$B$18))-1)&lt;0.000000001,10,(1-((1+$A278)/(1+'Table G'!$B$18))^10)/(1-((1+$A278)/(1+'Table G'!$B$18))))+('Table G'!$B$14+'Table G'!$B$15)*(1+$A278)^(10-1)*(1+'Table G'!$B$25)/(('Table G'!$B$18-'Table G'!$B$25)*(1+'Table G'!$B$18)^10),"")</f>
        <v>209054.92732819414</v>
      </c>
      <c r="D278" s="17">
        <f>IFERROR(('Table G'!$B$14+'Table G'!$B$15)/(1+'Table G'!$B$18)*IF(ABS(((1+$A278)/(1+'Table G'!$B$18))-1)&lt;0.000000001,5,(1-((1+$A278)/(1+'Table G'!$B$18))^5)/(1-((1+$A278)/(1+'Table G'!$B$18))))+('Table G'!$B$14+'Table G'!$B$15)*(1+$A278)^(5-1)*(1+'Table G'!$B$26)/(('Table G'!$B$18-'Table G'!$B$26)*(1+'Table G'!$B$18)^5),"")</f>
        <v>128446.29235991082</v>
      </c>
      <c r="E278" s="17">
        <f>IFERROR(('Table G'!$B$14+'Table G'!$B$15)/(1+'Table G'!$B$18)*IF(ABS(((1+$A278)/(1+'Table G'!$B$18))-1)&lt;0.000000001,10,(1-((1+$A278)/(1+'Table G'!$B$18))^10)/(1-((1+$A278)/(1+'Table G'!$B$18))))+('Table G'!$B$14+'Table G'!$B$15)*(1+$A278)^(10-1)*(1+'Table G'!$B$26)/(('Table G'!$B$18-'Table G'!$B$26)*(1+'Table G'!$B$18)^10),"")</f>
        <v>221189.34480474668</v>
      </c>
      <c r="F278" s="17">
        <f>IFERROR(('Table G'!$B$14+'Table G'!$B$15)/(1+'Table G'!$B$18)*IF(ABS(((1+$A278)/(1+'Table G'!$B$18))-1)&lt;0.000000001,5,(1-((1+$A278)/(1+'Table G'!$B$18))^5)/(1-((1+$A278)/(1+'Table G'!$B$18))))+('Table G'!$B$14+'Table G'!$B$15)*(1+$A278)^(5-1)*(1+'Table G'!$B$27)/(('Table G'!$B$18-'Table G'!$B$27)*(1+'Table G'!$B$18)^5),"")</f>
        <v>137851.94339190499</v>
      </c>
      <c r="G278" s="17">
        <f>IFERROR(('Table G'!$B$14+'Table G'!$B$15)/(1+'Table G'!$B$18)*IF(ABS(((1+$A278)/(1+'Table G'!$B$18))-1)&lt;0.000000001,10,(1-((1+$A278)/(1+'Table G'!$B$18))^10)/(1-((1+$A278)/(1+'Table G'!$B$18))))+('Table G'!$B$14+'Table G'!$B$15)*(1+$A278)^(10-1)*(1+'Table G'!$B$27)/(('Table G'!$B$18-'Table G'!$B$27)*(1+'Table G'!$B$18)^10),"")</f>
        <v>235436.1341329295</v>
      </c>
    </row>
    <row r="279" spans="1:7" x14ac:dyDescent="0.2">
      <c r="A279" s="8">
        <f>-0.1+275*$B$2</f>
        <v>0.17500000000000002</v>
      </c>
      <c r="B279" s="17">
        <f>IFERROR(('Table G'!$B$14+'Table G'!$B$15)/(1+'Table G'!$B$18)*IF(ABS(((1+$A279)/(1+'Table G'!$B$18))-1)&lt;0.000000001,5,(1-((1+$A279)/(1+'Table G'!$B$18))^5)/(1-((1+$A279)/(1+'Table G'!$B$18))))+('Table G'!$B$14+'Table G'!$B$15)*(1+$A279)^(5-1)*(1+'Table G'!$B$25)/(('Table G'!$B$18-'Table G'!$B$25)*(1+'Table G'!$B$18)^5),"")</f>
        <v>120804.3993229342</v>
      </c>
      <c r="C279" s="17">
        <f>IFERROR(('Table G'!$B$14+'Table G'!$B$15)/(1+'Table G'!$B$18)*IF(ABS(((1+$A279)/(1+'Table G'!$B$18))-1)&lt;0.000000001,10,(1-((1+$A279)/(1+'Table G'!$B$18))^10)/(1-((1+$A279)/(1+'Table G'!$B$18))))+('Table G'!$B$14+'Table G'!$B$15)*(1+$A279)^(10-1)*(1+'Table G'!$B$25)/(('Table G'!$B$18-'Table G'!$B$25)*(1+'Table G'!$B$18)^10),"")</f>
        <v>210443.94034661696</v>
      </c>
      <c r="D279" s="17">
        <f>IFERROR(('Table G'!$B$14+'Table G'!$B$15)/(1+'Table G'!$B$18)*IF(ABS(((1+$A279)/(1+'Table G'!$B$18))-1)&lt;0.000000001,5,(1-((1+$A279)/(1+'Table G'!$B$18))^5)/(1-((1+$A279)/(1+'Table G'!$B$18))))+('Table G'!$B$14+'Table G'!$B$15)*(1+$A279)^(5-1)*(1+'Table G'!$B$26)/(('Table G'!$B$18-'Table G'!$B$26)*(1+'Table G'!$B$18)^5),"")</f>
        <v>128842.80408190655</v>
      </c>
      <c r="E279" s="17">
        <f>IFERROR(('Table G'!$B$14+'Table G'!$B$15)/(1+'Table G'!$B$18)*IF(ABS(((1+$A279)/(1+'Table G'!$B$18))-1)&lt;0.000000001,10,(1-((1+$A279)/(1+'Table G'!$B$18))^10)/(1-((1+$A279)/(1+'Table G'!$B$18))))+('Table G'!$B$14+'Table G'!$B$15)*(1+$A279)^(10-1)*(1+'Table G'!$B$26)/(('Table G'!$B$18-'Table G'!$B$26)*(1+'Table G'!$B$18)^10),"")</f>
        <v>222671.69904322806</v>
      </c>
      <c r="F279" s="17">
        <f>IFERROR(('Table G'!$B$14+'Table G'!$B$15)/(1+'Table G'!$B$18)*IF(ABS(((1+$A279)/(1+'Table G'!$B$18))-1)&lt;0.000000001,5,(1-((1+$A279)/(1+'Table G'!$B$18))^5)/(1-((1+$A279)/(1+'Table G'!$B$18))))+('Table G'!$B$14+'Table G'!$B$15)*(1+$A279)^(5-1)*(1+'Table G'!$B$27)/(('Table G'!$B$18-'Table G'!$B$27)*(1+'Table G'!$B$18)^5),"")</f>
        <v>138280.54259362596</v>
      </c>
      <c r="G279" s="17">
        <f>IFERROR(('Table G'!$B$14+'Table G'!$B$15)/(1+'Table G'!$B$18)*IF(ABS(((1+$A279)/(1+'Table G'!$B$18))-1)&lt;0.000000001,10,(1-((1+$A279)/(1+'Table G'!$B$18))^10)/(1-((1+$A279)/(1+'Table G'!$B$18))))+('Table G'!$B$14+'Table G'!$B$15)*(1+$A279)^(10-1)*(1+'Table G'!$B$27)/(('Table G'!$B$18-'Table G'!$B$27)*(1+'Table G'!$B$18)^10),"")</f>
        <v>237028.07852688216</v>
      </c>
    </row>
    <row r="280" spans="1:7" x14ac:dyDescent="0.2">
      <c r="A280" s="8">
        <f>-0.1+276*$B$2</f>
        <v>0.17600000000000002</v>
      </c>
      <c r="B280" s="17">
        <f>IFERROR(('Table G'!$B$14+'Table G'!$B$15)/(1+'Table G'!$B$18)*IF(ABS(((1+$A280)/(1+'Table G'!$B$18))-1)&lt;0.000000001,5,(1-((1+$A280)/(1+'Table G'!$B$18))^5)/(1-((1+$A280)/(1+'Table G'!$B$18))))+('Table G'!$B$14+'Table G'!$B$15)*(1+$A280)^(5-1)*(1+'Table G'!$B$25)/(('Table G'!$B$18-'Table G'!$B$25)*(1+'Table G'!$B$18)^5),"")</f>
        <v>121174.48646391553</v>
      </c>
      <c r="C280" s="17">
        <f>IFERROR(('Table G'!$B$14+'Table G'!$B$15)/(1+'Table G'!$B$18)*IF(ABS(((1+$A280)/(1+'Table G'!$B$18))-1)&lt;0.000000001,10,(1-((1+$A280)/(1+'Table G'!$B$18))^10)/(1-((1+$A280)/(1+'Table G'!$B$18))))+('Table G'!$B$14+'Table G'!$B$15)*(1+$A280)^(10-1)*(1+'Table G'!$B$25)/(('Table G'!$B$18-'Table G'!$B$25)*(1+'Table G'!$B$18)^10),"")</f>
        <v>211841.86502629778</v>
      </c>
      <c r="D280" s="17">
        <f>IFERROR(('Table G'!$B$14+'Table G'!$B$15)/(1+'Table G'!$B$18)*IF(ABS(((1+$A280)/(1+'Table G'!$B$18))-1)&lt;0.000000001,5,(1-((1+$A280)/(1+'Table G'!$B$18))^5)/(1-((1+$A280)/(1+'Table G'!$B$18))))+('Table G'!$B$14+'Table G'!$B$15)*(1+$A280)^(5-1)*(1+'Table G'!$B$26)/(('Table G'!$B$18-'Table G'!$B$26)*(1+'Table G'!$B$18)^5),"")</f>
        <v>129240.29095863532</v>
      </c>
      <c r="E280" s="17">
        <f>IFERROR(('Table G'!$B$14+'Table G'!$B$15)/(1+'Table G'!$B$18)*IF(ABS(((1+$A280)/(1+'Table G'!$B$18))-1)&lt;0.000000001,10,(1-((1+$A280)/(1+'Table G'!$B$18))^10)/(1-((1+$A280)/(1+'Table G'!$B$18))))+('Table G'!$B$14+'Table G'!$B$15)*(1+$A280)^(10-1)*(1+'Table G'!$B$26)/(('Table G'!$B$18-'Table G'!$B$26)*(1+'Table G'!$B$18)^10),"")</f>
        <v>224163.60262579791</v>
      </c>
      <c r="F280" s="17">
        <f>IFERROR(('Table G'!$B$14+'Table G'!$B$15)/(1+'Table G'!$B$18)*IF(ABS(((1+$A280)/(1+'Table G'!$B$18))-1)&lt;0.000000001,5,(1-((1+$A280)/(1+'Table G'!$B$18))^5)/(1-((1+$A280)/(1+'Table G'!$B$18))))+('Table G'!$B$14+'Table G'!$B$15)*(1+$A280)^(5-1)*(1+'Table G'!$B$27)/(('Table G'!$B$18-'Table G'!$B$27)*(1+'Table G'!$B$18)^5),"")</f>
        <v>138710.19898022994</v>
      </c>
      <c r="G280" s="17">
        <f>IFERROR(('Table G'!$B$14+'Table G'!$B$15)/(1+'Table G'!$B$18)*IF(ABS(((1+$A280)/(1+'Table G'!$B$18))-1)&lt;0.000000001,10,(1-((1+$A280)/(1+'Table G'!$B$18))^10)/(1-((1+$A280)/(1+'Table G'!$B$18))))+('Table G'!$B$14+'Table G'!$B$15)*(1+$A280)^(10-1)*(1+'Table G'!$B$27)/(('Table G'!$B$18-'Table G'!$B$27)*(1+'Table G'!$B$18)^10),"")</f>
        <v>238630.32095623578</v>
      </c>
    </row>
    <row r="281" spans="1:7" x14ac:dyDescent="0.2">
      <c r="A281" s="8">
        <f>-0.1+277*$B$2</f>
        <v>0.17700000000000002</v>
      </c>
      <c r="B281" s="17">
        <f>IFERROR(('Table G'!$B$14+'Table G'!$B$15)/(1+'Table G'!$B$18)*IF(ABS(((1+$A281)/(1+'Table G'!$B$18))-1)&lt;0.000000001,5,(1-((1+$A281)/(1+'Table G'!$B$18))^5)/(1-((1+$A281)/(1+'Table G'!$B$18))))+('Table G'!$B$14+'Table G'!$B$15)*(1+$A281)^(5-1)*(1+'Table G'!$B$25)/(('Table G'!$B$18-'Table G'!$B$25)*(1+'Table G'!$B$18)^5),"")</f>
        <v>121545.48039926113</v>
      </c>
      <c r="C281" s="17">
        <f>IFERROR(('Table G'!$B$14+'Table G'!$B$15)/(1+'Table G'!$B$18)*IF(ABS(((1+$A281)/(1+'Table G'!$B$18))-1)&lt;0.000000001,10,(1-((1+$A281)/(1+'Table G'!$B$18))^10)/(1-((1+$A281)/(1+'Table G'!$B$18))))+('Table G'!$B$14+'Table G'!$B$15)*(1+$A281)^(10-1)*(1+'Table G'!$B$25)/(('Table G'!$B$18-'Table G'!$B$25)*(1+'Table G'!$B$18)^10),"")</f>
        <v>213248.75271324877</v>
      </c>
      <c r="D281" s="17">
        <f>IFERROR(('Table G'!$B$14+'Table G'!$B$15)/(1+'Table G'!$B$18)*IF(ABS(((1+$A281)/(1+'Table G'!$B$18))-1)&lt;0.000000001,5,(1-((1+$A281)/(1+'Table G'!$B$18))^5)/(1-((1+$A281)/(1+'Table G'!$B$18))))+('Table G'!$B$14+'Table G'!$B$15)*(1+$A281)^(5-1)*(1+'Table G'!$B$26)/(('Table G'!$B$18-'Table G'!$B$26)*(1+'Table G'!$B$18)^5),"")</f>
        <v>129638.75461623975</v>
      </c>
      <c r="E281" s="17">
        <f>IFERROR(('Table G'!$B$14+'Table G'!$B$15)/(1+'Table G'!$B$18)*IF(ABS(((1+$A281)/(1+'Table G'!$B$18))-1)&lt;0.000000001,10,(1-((1+$A281)/(1+'Table G'!$B$18))^10)/(1-((1+$A281)/(1+'Table G'!$B$18))))+('Table G'!$B$14+'Table G'!$B$15)*(1+$A281)^(10-1)*(1+'Table G'!$B$26)/(('Table G'!$B$18-'Table G'!$B$26)*(1+'Table G'!$B$18)^10),"")</f>
        <v>225665.11070714073</v>
      </c>
      <c r="F281" s="17">
        <f>IFERROR(('Table G'!$B$14+'Table G'!$B$15)/(1+'Table G'!$B$18)*IF(ABS(((1+$A281)/(1+'Table G'!$B$18))-1)&lt;0.000000001,5,(1-((1+$A281)/(1+'Table G'!$B$18))^5)/(1-((1+$A281)/(1+'Table G'!$B$18))))+('Table G'!$B$14+'Table G'!$B$15)*(1+$A281)^(5-1)*(1+'Table G'!$B$27)/(('Table G'!$B$18-'Table G'!$B$27)*(1+'Table G'!$B$18)^5),"")</f>
        <v>139140.91431754475</v>
      </c>
      <c r="G281" s="17">
        <f>IFERROR(('Table G'!$B$14+'Table G'!$B$15)/(1+'Table G'!$B$18)*IF(ABS(((1+$A281)/(1+'Table G'!$B$18))-1)&lt;0.000000001,10,(1-((1+$A281)/(1+'Table G'!$B$18))^10)/(1-((1+$A281)/(1+'Table G'!$B$18))))+('Table G'!$B$14+'Table G'!$B$15)*(1+$A281)^(10-1)*(1+'Table G'!$B$27)/(('Table G'!$B$18-'Table G'!$B$27)*(1+'Table G'!$B$18)^10),"")</f>
        <v>240242.92104736433</v>
      </c>
    </row>
    <row r="282" spans="1:7" x14ac:dyDescent="0.2">
      <c r="A282" s="8">
        <f>-0.1+278*$B$2</f>
        <v>0.17800000000000002</v>
      </c>
      <c r="B282" s="17">
        <f>IFERROR(('Table G'!$B$14+'Table G'!$B$15)/(1+'Table G'!$B$18)*IF(ABS(((1+$A282)/(1+'Table G'!$B$18))-1)&lt;0.000000001,5,(1-((1+$A282)/(1+'Table G'!$B$18))^5)/(1-((1+$A282)/(1+'Table G'!$B$18))))+('Table G'!$B$14+'Table G'!$B$15)*(1+$A282)^(5-1)*(1+'Table G'!$B$25)/(('Table G'!$B$18-'Table G'!$B$25)*(1+'Table G'!$B$18)^5),"")</f>
        <v>121917.38263740303</v>
      </c>
      <c r="C282" s="17">
        <f>IFERROR(('Table G'!$B$14+'Table G'!$B$15)/(1+'Table G'!$B$18)*IF(ABS(((1+$A282)/(1+'Table G'!$B$18))-1)&lt;0.000000001,10,(1-((1+$A282)/(1+'Table G'!$B$18))^10)/(1-((1+$A282)/(1+'Table G'!$B$18))))+('Table G'!$B$14+'Table G'!$B$15)*(1+$A282)^(10-1)*(1+'Table G'!$B$25)/(('Table G'!$B$18-'Table G'!$B$25)*(1+'Table G'!$B$18)^10),"")</f>
        <v>214664.65501000866</v>
      </c>
      <c r="D282" s="17">
        <f>IFERROR(('Table G'!$B$14+'Table G'!$B$15)/(1+'Table G'!$B$18)*IF(ABS(((1+$A282)/(1+'Table G'!$B$18))-1)&lt;0.000000001,5,(1-((1+$A282)/(1+'Table G'!$B$18))^5)/(1-((1+$A282)/(1+'Table G'!$B$18))))+('Table G'!$B$14+'Table G'!$B$15)*(1+$A282)^(5-1)*(1+'Table G'!$B$26)/(('Table G'!$B$18-'Table G'!$B$26)*(1+'Table G'!$B$18)^5),"")</f>
        <v>130038.19668222721</v>
      </c>
      <c r="E282" s="17">
        <f>IFERROR(('Table G'!$B$14+'Table G'!$B$15)/(1+'Table G'!$B$18)*IF(ABS(((1+$A282)/(1+'Table G'!$B$18))-1)&lt;0.000000001,10,(1-((1+$A282)/(1+'Table G'!$B$18))^10)/(1-((1+$A282)/(1+'Table G'!$B$18))))+('Table G'!$B$14+'Table G'!$B$15)*(1+$A282)^(10-1)*(1+'Table G'!$B$26)/(('Table G'!$B$18-'Table G'!$B$26)*(1+'Table G'!$B$18)^10),"")</f>
        <v>227176.27871794871</v>
      </c>
      <c r="F282" s="17">
        <f>IFERROR(('Table G'!$B$14+'Table G'!$B$15)/(1+'Table G'!$B$18)*IF(ABS(((1+$A282)/(1+'Table G'!$B$18))-1)&lt;0.000000001,5,(1-((1+$A282)/(1+'Table G'!$B$18))^5)/(1-((1+$A282)/(1+'Table G'!$B$18))))+('Table G'!$B$14+'Table G'!$B$15)*(1+$A282)^(5-1)*(1+'Table G'!$B$27)/(('Table G'!$B$18-'Table G'!$B$27)*(1+'Table G'!$B$18)^5),"")</f>
        <v>139572.69037288174</v>
      </c>
      <c r="G282" s="17">
        <f>IFERROR(('Table G'!$B$14+'Table G'!$B$15)/(1+'Table G'!$B$18)*IF(ABS(((1+$A282)/(1+'Table G'!$B$18))-1)&lt;0.000000001,10,(1-((1+$A282)/(1+'Table G'!$B$18))^10)/(1-((1+$A282)/(1+'Table G'!$B$18))))+('Table G'!$B$14+'Table G'!$B$15)*(1+$A282)^(10-1)*(1+'Table G'!$B$27)/(('Table G'!$B$18-'Table G'!$B$27)*(1+'Table G'!$B$18)^10),"")</f>
        <v>241865.9387255226</v>
      </c>
    </row>
    <row r="283" spans="1:7" x14ac:dyDescent="0.2">
      <c r="A283" s="8">
        <f>-0.1+279*$B$2</f>
        <v>0.17900000000000002</v>
      </c>
      <c r="B283" s="17">
        <f>IFERROR(('Table G'!$B$14+'Table G'!$B$15)/(1+'Table G'!$B$18)*IF(ABS(((1+$A283)/(1+'Table G'!$B$18))-1)&lt;0.000000001,5,(1-((1+$A283)/(1+'Table G'!$B$18))^5)/(1-((1+$A283)/(1+'Table G'!$B$18))))+('Table G'!$B$14+'Table G'!$B$15)*(1+$A283)^(5-1)*(1+'Table G'!$B$25)/(('Table G'!$B$18-'Table G'!$B$25)*(1+'Table G'!$B$18)^5),"")</f>
        <v>122290.19468803774</v>
      </c>
      <c r="C283" s="17">
        <f>IFERROR(('Table G'!$B$14+'Table G'!$B$15)/(1+'Table G'!$B$18)*IF(ABS(((1+$A283)/(1+'Table G'!$B$18))-1)&lt;0.000000001,10,(1-((1+$A283)/(1+'Table G'!$B$18))^10)/(1-((1+$A283)/(1+'Table G'!$B$18))))+('Table G'!$B$14+'Table G'!$B$15)*(1+$A283)^(10-1)*(1+'Table G'!$B$25)/(('Table G'!$B$18-'Table G'!$B$25)*(1+'Table G'!$B$18)^10),"")</f>
        <v>216089.62377671932</v>
      </c>
      <c r="D283" s="17">
        <f>IFERROR(('Table G'!$B$14+'Table G'!$B$15)/(1+'Table G'!$B$18)*IF(ABS(((1+$A283)/(1+'Table G'!$B$18))-1)&lt;0.000000001,5,(1-((1+$A283)/(1+'Table G'!$B$18))^5)/(1-((1+$A283)/(1+'Table G'!$B$18))))+('Table G'!$B$14+'Table G'!$B$15)*(1+$A283)^(5-1)*(1+'Table G'!$B$26)/(('Table G'!$B$18-'Table G'!$B$26)*(1+'Table G'!$B$18)^5),"")</f>
        <v>130438.61878547061</v>
      </c>
      <c r="E283" s="17">
        <f>IFERROR(('Table G'!$B$14+'Table G'!$B$15)/(1+'Table G'!$B$18)*IF(ABS(((1+$A283)/(1+'Table G'!$B$18))-1)&lt;0.000000001,10,(1-((1+$A283)/(1+'Table G'!$B$18))^10)/(1-((1+$A283)/(1+'Table G'!$B$18))))+('Table G'!$B$14+'Table G'!$B$15)*(1+$A283)^(10-1)*(1+'Table G'!$B$26)/(('Table G'!$B$18-'Table G'!$B$26)*(1+'Table G'!$B$18)^10),"")</f>
        <v>228697.16236608208</v>
      </c>
      <c r="F283" s="17">
        <f>IFERROR(('Table G'!$B$14+'Table G'!$B$15)/(1+'Table G'!$B$18)*IF(ABS(((1+$A283)/(1+'Table G'!$B$18))-1)&lt;0.000000001,5,(1-((1+$A283)/(1+'Table G'!$B$18))^5)/(1-((1+$A283)/(1+'Table G'!$B$18))))+('Table G'!$B$14+'Table G'!$B$15)*(1+$A283)^(5-1)*(1+'Table G'!$B$27)/(('Table G'!$B$18-'Table G'!$B$27)*(1+'Table G'!$B$18)^5),"")</f>
        <v>140005.52891503673</v>
      </c>
      <c r="G283" s="17">
        <f>IFERROR(('Table G'!$B$14+'Table G'!$B$15)/(1+'Table G'!$B$18)*IF(ABS(((1+$A283)/(1+'Table G'!$B$18))-1)&lt;0.000000001,10,(1-((1+$A283)/(1+'Table G'!$B$18))^10)/(1-((1+$A283)/(1+'Table G'!$B$18))))+('Table G'!$B$14+'Table G'!$B$15)*(1+$A283)^(10-1)*(1+'Table G'!$B$27)/(('Table G'!$B$18-'Table G'!$B$27)*(1+'Table G'!$B$18)^10),"")</f>
        <v>243499.43421610392</v>
      </c>
    </row>
    <row r="284" spans="1:7" x14ac:dyDescent="0.2">
      <c r="A284" s="8">
        <f>-0.1+280*$B$2</f>
        <v>0.18000000000000002</v>
      </c>
      <c r="B284" s="17">
        <f>IFERROR(('Table G'!$B$14+'Table G'!$B$15)/(1+'Table G'!$B$18)*IF(ABS(((1+$A284)/(1+'Table G'!$B$18))-1)&lt;0.000000001,5,(1-((1+$A284)/(1+'Table G'!$B$18))^5)/(1-((1+$A284)/(1+'Table G'!$B$18))))+('Table G'!$B$14+'Table G'!$B$15)*(1+$A284)^(5-1)*(1+'Table G'!$B$25)/(('Table G'!$B$18-'Table G'!$B$25)*(1+'Table G'!$B$18)^5),"")</f>
        <v>122663.91806212541</v>
      </c>
      <c r="C284" s="17">
        <f>IFERROR(('Table G'!$B$14+'Table G'!$B$15)/(1+'Table G'!$B$18)*IF(ABS(((1+$A284)/(1+'Table G'!$B$18))-1)&lt;0.000000001,10,(1-((1+$A284)/(1+'Table G'!$B$18))^10)/(1-((1+$A284)/(1+'Table G'!$B$18))))+('Table G'!$B$14+'Table G'!$B$15)*(1+$A284)^(10-1)*(1+'Table G'!$B$25)/(('Table G'!$B$18-'Table G'!$B$25)*(1+'Table G'!$B$18)^10),"")</f>
        <v>217523.71113220265</v>
      </c>
      <c r="D284" s="17">
        <f>IFERROR(('Table G'!$B$14+'Table G'!$B$15)/(1+'Table G'!$B$18)*IF(ABS(((1+$A284)/(1+'Table G'!$B$18))-1)&lt;0.000000001,5,(1-((1+$A284)/(1+'Table G'!$B$18))^5)/(1-((1+$A284)/(1+'Table G'!$B$18))))+('Table G'!$B$14+'Table G'!$B$15)*(1+$A284)^(5-1)*(1+'Table G'!$B$26)/(('Table G'!$B$18-'Table G'!$B$26)*(1+'Table G'!$B$18)^5),"")</f>
        <v>130840.02255620787</v>
      </c>
      <c r="E284" s="17">
        <f>IFERROR(('Table G'!$B$14+'Table G'!$B$15)/(1+'Table G'!$B$18)*IF(ABS(((1+$A284)/(1+'Table G'!$B$18))-1)&lt;0.000000001,10,(1-((1+$A284)/(1+'Table G'!$B$18))^10)/(1-((1+$A284)/(1+'Table G'!$B$18))))+('Table G'!$B$14+'Table G'!$B$15)*(1+$A284)^(10-1)*(1+'Table G'!$B$26)/(('Table G'!$B$18-'Table G'!$B$26)*(1+'Table G'!$B$18)^10),"")</f>
        <v>230227.81763772888</v>
      </c>
      <c r="F284" s="17">
        <f>IFERROR(('Table G'!$B$14+'Table G'!$B$15)/(1+'Table G'!$B$18)*IF(ABS(((1+$A284)/(1+'Table G'!$B$18))-1)&lt;0.000000001,5,(1-((1+$A284)/(1+'Table G'!$B$18))^5)/(1-((1+$A284)/(1+'Table G'!$B$18))))+('Table G'!$B$14+'Table G'!$B$15)*(1+$A284)^(5-1)*(1+'Table G'!$B$27)/(('Table G'!$B$18-'Table G'!$B$27)*(1+'Table G'!$B$18)^5),"")</f>
        <v>140439.43171428924</v>
      </c>
      <c r="G284" s="17">
        <f>IFERROR(('Table G'!$B$14+'Table G'!$B$15)/(1+'Table G'!$B$18)*IF(ABS(((1+$A284)/(1+'Table G'!$B$18))-1)&lt;0.000000001,10,(1-((1+$A284)/(1+'Table G'!$B$18))^10)/(1-((1+$A284)/(1+'Table G'!$B$18))))+('Table G'!$B$14+'Table G'!$B$15)*(1+$A284)^(10-1)*(1+'Table G'!$B$27)/(('Table G'!$B$18-'Table G'!$B$27)*(1+'Table G'!$B$18)^10),"")</f>
        <v>245143.46804589743</v>
      </c>
    </row>
    <row r="285" spans="1:7" x14ac:dyDescent="0.2">
      <c r="A285" s="8">
        <f>-0.1+281*$B$2</f>
        <v>0.18100000000000002</v>
      </c>
      <c r="B285" s="17">
        <f>IFERROR(('Table G'!$B$14+'Table G'!$B$15)/(1+'Table G'!$B$18)*IF(ABS(((1+$A285)/(1+'Table G'!$B$18))-1)&lt;0.000000001,5,(1-((1+$A285)/(1+'Table G'!$B$18))^5)/(1-((1+$A285)/(1+'Table G'!$B$18))))+('Table G'!$B$14+'Table G'!$B$15)*(1+$A285)^(5-1)*(1+'Table G'!$B$25)/(('Table G'!$B$18-'Table G'!$B$25)*(1+'Table G'!$B$18)^5),"")</f>
        <v>123038.55427189058</v>
      </c>
      <c r="C285" s="17">
        <f>IFERROR(('Table G'!$B$14+'Table G'!$B$15)/(1+'Table G'!$B$18)*IF(ABS(((1+$A285)/(1+'Table G'!$B$18))-1)&lt;0.000000001,10,(1-((1+$A285)/(1+'Table G'!$B$18))^10)/(1-((1+$A285)/(1+'Table G'!$B$18))))+('Table G'!$B$14+'Table G'!$B$15)*(1+$A285)^(10-1)*(1+'Table G'!$B$25)/(('Table G'!$B$18-'Table G'!$B$25)*(1+'Table G'!$B$18)^10),"")</f>
        <v>218966.96945504329</v>
      </c>
      <c r="D285" s="17">
        <f>IFERROR(('Table G'!$B$14+'Table G'!$B$15)/(1+'Table G'!$B$18)*IF(ABS(((1+$A285)/(1+'Table G'!$B$18))-1)&lt;0.000000001,5,(1-((1+$A285)/(1+'Table G'!$B$18))^5)/(1-((1+$A285)/(1+'Table G'!$B$18))))+('Table G'!$B$14+'Table G'!$B$15)*(1+$A285)^(5-1)*(1+'Table G'!$B$26)/(('Table G'!$B$18-'Table G'!$B$26)*(1+'Table G'!$B$18)^5),"")</f>
        <v>131242.40962604235</v>
      </c>
      <c r="E285" s="17">
        <f>IFERROR(('Table G'!$B$14+'Table G'!$B$15)/(1+'Table G'!$B$18)*IF(ABS(((1+$A285)/(1+'Table G'!$B$18))-1)&lt;0.000000001,10,(1-((1+$A285)/(1+'Table G'!$B$18))^10)/(1-((1+$A285)/(1+'Table G'!$B$18))))+('Table G'!$B$14+'Table G'!$B$15)*(1+$A285)^(10-1)*(1+'Table G'!$B$26)/(('Table G'!$B$18-'Table G'!$B$26)*(1+'Table G'!$B$18)^10),"")</f>
        <v>231768.30079857123</v>
      </c>
      <c r="F285" s="17">
        <f>IFERROR(('Table G'!$B$14+'Table G'!$B$15)/(1+'Table G'!$B$18)*IF(ABS(((1+$A285)/(1+'Table G'!$B$18))-1)&lt;0.000000001,5,(1-((1+$A285)/(1+'Table G'!$B$18))^5)/(1-((1+$A285)/(1+'Table G'!$B$18))))+('Table G'!$B$14+'Table G'!$B$15)*(1+$A285)^(5-1)*(1+'Table G'!$B$27)/(('Table G'!$B$18-'Table G'!$B$27)*(1+'Table G'!$B$18)^5),"")</f>
        <v>140874.40054240322</v>
      </c>
      <c r="G285" s="17">
        <f>IFERROR(('Table G'!$B$14+'Table G'!$B$15)/(1+'Table G'!$B$18)*IF(ABS(((1+$A285)/(1+'Table G'!$B$18))-1)&lt;0.000000001,10,(1-((1+$A285)/(1+'Table G'!$B$18))^10)/(1-((1+$A285)/(1+'Table G'!$B$18))))+('Table G'!$B$14+'Table G'!$B$15)*(1+$A285)^(10-1)*(1+'Table G'!$B$27)/(('Table G'!$B$18-'Table G'!$B$27)*(1+'Table G'!$B$18)^10),"")</f>
        <v>246798.10104435284</v>
      </c>
    </row>
    <row r="286" spans="1:7" x14ac:dyDescent="0.2">
      <c r="A286" s="8">
        <f>-0.1+282*$B$2</f>
        <v>0.18200000000000002</v>
      </c>
      <c r="B286" s="17">
        <f>IFERROR(('Table G'!$B$14+'Table G'!$B$15)/(1+'Table G'!$B$18)*IF(ABS(((1+$A286)/(1+'Table G'!$B$18))-1)&lt;0.000000001,5,(1-((1+$A286)/(1+'Table G'!$B$18))^5)/(1-((1+$A286)/(1+'Table G'!$B$18))))+('Table G'!$B$14+'Table G'!$B$15)*(1+$A286)^(5-1)*(1+'Table G'!$B$25)/(('Table G'!$B$18-'Table G'!$B$25)*(1+'Table G'!$B$18)^5),"")</f>
        <v>123414.10483082139</v>
      </c>
      <c r="C286" s="17">
        <f>IFERROR(('Table G'!$B$14+'Table G'!$B$15)/(1+'Table G'!$B$18)*IF(ABS(((1+$A286)/(1+'Table G'!$B$18))-1)&lt;0.000000001,10,(1-((1+$A286)/(1+'Table G'!$B$18))^10)/(1-((1+$A286)/(1+'Table G'!$B$18))))+('Table G'!$B$14+'Table G'!$B$15)*(1+$A286)^(10-1)*(1+'Table G'!$B$25)/(('Table G'!$B$18-'Table G'!$B$25)*(1+'Table G'!$B$18)^10),"")</f>
        <v>220419.45138467205</v>
      </c>
      <c r="D286" s="17">
        <f>IFERROR(('Table G'!$B$14+'Table G'!$B$15)/(1+'Table G'!$B$18)*IF(ABS(((1+$A286)/(1+'Table G'!$B$18))-1)&lt;0.000000001,5,(1-((1+$A286)/(1+'Table G'!$B$18))^5)/(1-((1+$A286)/(1+'Table G'!$B$18))))+('Table G'!$B$14+'Table G'!$B$15)*(1+$A286)^(5-1)*(1+'Table G'!$B$26)/(('Table G'!$B$18-'Table G'!$B$26)*(1+'Table G'!$B$18)^5),"")</f>
        <v>131645.78162794234</v>
      </c>
      <c r="E286" s="17">
        <f>IFERROR(('Table G'!$B$14+'Table G'!$B$15)/(1+'Table G'!$B$18)*IF(ABS(((1+$A286)/(1+'Table G'!$B$18))-1)&lt;0.000000001,10,(1-((1+$A286)/(1+'Table G'!$B$18))^10)/(1-((1+$A286)/(1+'Table G'!$B$18))))+('Table G'!$B$14+'Table G'!$B$15)*(1+$A286)^(10-1)*(1+'Table G'!$B$26)/(('Table G'!$B$18-'Table G'!$B$26)*(1+'Table G'!$B$18)^10),"")</f>
        <v>233318.66839495269</v>
      </c>
      <c r="F286" s="17">
        <f>IFERROR(('Table G'!$B$14+'Table G'!$B$15)/(1+'Table G'!$B$18)*IF(ABS(((1+$A286)/(1+'Table G'!$B$18))-1)&lt;0.000000001,5,(1-((1+$A286)/(1+'Table G'!$B$18))^5)/(1-((1+$A286)/(1+'Table G'!$B$18))))+('Table G'!$B$14+'Table G'!$B$15)*(1+$A286)^(5-1)*(1+'Table G'!$B$27)/(('Table G'!$B$18-'Table G'!$B$27)*(1+'Table G'!$B$18)^5),"")</f>
        <v>141310.43717262626</v>
      </c>
      <c r="G286" s="17">
        <f>IFERROR(('Table G'!$B$14+'Table G'!$B$15)/(1+'Table G'!$B$18)*IF(ABS(((1+$A286)/(1+'Table G'!$B$18))-1)&lt;0.000000001,10,(1-((1+$A286)/(1+'Table G'!$B$18))^10)/(1-((1+$A286)/(1+'Table G'!$B$18))))+('Table G'!$B$14+'Table G'!$B$15)*(1+$A286)^(10-1)*(1+'Table G'!$B$27)/(('Table G'!$B$18-'Table G'!$B$27)*(1+'Table G'!$B$18)^10),"")</f>
        <v>248463.39434484576</v>
      </c>
    </row>
    <row r="287" spans="1:7" x14ac:dyDescent="0.2">
      <c r="A287" s="8">
        <f>-0.1+283*$B$2</f>
        <v>0.18300000000000002</v>
      </c>
      <c r="B287" s="17">
        <f>IFERROR(('Table G'!$B$14+'Table G'!$B$15)/(1+'Table G'!$B$18)*IF(ABS(((1+$A287)/(1+'Table G'!$B$18))-1)&lt;0.000000001,5,(1-((1+$A287)/(1+'Table G'!$B$18))^5)/(1-((1+$A287)/(1+'Table G'!$B$18))))+('Table G'!$B$14+'Table G'!$B$15)*(1+$A287)^(5-1)*(1+'Table G'!$B$25)/(('Table G'!$B$18-'Table G'!$B$25)*(1+'Table G'!$B$18)^5),"")</f>
        <v>123790.57125367048</v>
      </c>
      <c r="C287" s="17">
        <f>IFERROR(('Table G'!$B$14+'Table G'!$B$15)/(1+'Table G'!$B$18)*IF(ABS(((1+$A287)/(1+'Table G'!$B$18))-1)&lt;0.000000001,10,(1-((1+$A287)/(1+'Table G'!$B$18))^10)/(1-((1+$A287)/(1+'Table G'!$B$18))))+('Table G'!$B$14+'Table G'!$B$15)*(1+$A287)^(10-1)*(1+'Table G'!$B$25)/(('Table G'!$B$18-'Table G'!$B$25)*(1+'Table G'!$B$18)^10),"")</f>
        <v>221881.20982245804</v>
      </c>
      <c r="D287" s="17">
        <f>IFERROR(('Table G'!$B$14+'Table G'!$B$15)/(1+'Table G'!$B$18)*IF(ABS(((1+$A287)/(1+'Table G'!$B$18))-1)&lt;0.000000001,5,(1-((1+$A287)/(1+'Table G'!$B$18))^5)/(1-((1+$A287)/(1+'Table G'!$B$18))))+('Table G'!$B$14+'Table G'!$B$15)*(1+$A287)^(5-1)*(1+'Table G'!$B$26)/(('Table G'!$B$18-'Table G'!$B$26)*(1+'Table G'!$B$18)^5),"")</f>
        <v>132050.14019624185</v>
      </c>
      <c r="E287" s="17">
        <f>IFERROR(('Table G'!$B$14+'Table G'!$B$15)/(1+'Table G'!$B$18)*IF(ABS(((1+$A287)/(1+'Table G'!$B$18))-1)&lt;0.000000001,10,(1-((1+$A287)/(1+'Table G'!$B$18))^10)/(1-((1+$A287)/(1+'Table G'!$B$18))))+('Table G'!$B$14+'Table G'!$B$15)*(1+$A287)^(10-1)*(1+'Table G'!$B$26)/(('Table G'!$B$18-'Table G'!$B$26)*(1+'Table G'!$B$18)^10),"")</f>
        <v>234878.97725505463</v>
      </c>
      <c r="F287" s="17">
        <f>IFERROR(('Table G'!$B$14+'Table G'!$B$15)/(1+'Table G'!$B$18)*IF(ABS(((1+$A287)/(1+'Table G'!$B$18))-1)&lt;0.000000001,5,(1-((1+$A287)/(1+'Table G'!$B$18))^5)/(1-((1+$A287)/(1+'Table G'!$B$18))))+('Table G'!$B$14+'Table G'!$B$15)*(1+$A287)^(5-1)*(1+'Table G'!$B$27)/(('Table G'!$B$18-'Table G'!$B$27)*(1+'Table G'!$B$18)^5),"")</f>
        <v>141747.5433796905</v>
      </c>
      <c r="G287" s="17">
        <f>IFERROR(('Table G'!$B$14+'Table G'!$B$15)/(1+'Table G'!$B$18)*IF(ABS(((1+$A287)/(1+'Table G'!$B$18))-1)&lt;0.000000001,10,(1-((1+$A287)/(1+'Table G'!$B$18))^10)/(1-((1+$A287)/(1+'Table G'!$B$18))))+('Table G'!$B$14+'Table G'!$B$15)*(1+$A287)^(10-1)*(1+'Table G'!$B$27)/(('Table G'!$B$18-'Table G'!$B$27)*(1+'Table G'!$B$18)^10),"")</f>
        <v>250139.40938595316</v>
      </c>
    </row>
    <row r="288" spans="1:7" x14ac:dyDescent="0.2">
      <c r="A288" s="8">
        <f>-0.1+284*$B$2</f>
        <v>0.18400000000000002</v>
      </c>
      <c r="B288" s="17">
        <f>IFERROR(('Table G'!$B$14+'Table G'!$B$15)/(1+'Table G'!$B$18)*IF(ABS(((1+$A288)/(1+'Table G'!$B$18))-1)&lt;0.000000001,5,(1-((1+$A288)/(1+'Table G'!$B$18))^5)/(1-((1+$A288)/(1+'Table G'!$B$18))))+('Table G'!$B$14+'Table G'!$B$15)*(1+$A288)^(5-1)*(1+'Table G'!$B$25)/(('Table G'!$B$18-'Table G'!$B$25)*(1+'Table G'!$B$18)^5),"")</f>
        <v>124167.955056454</v>
      </c>
      <c r="C288" s="17">
        <f>IFERROR(('Table G'!$B$14+'Table G'!$B$15)/(1+'Table G'!$B$18)*IF(ABS(((1+$A288)/(1+'Table G'!$B$18))-1)&lt;0.000000001,10,(1-((1+$A288)/(1+'Table G'!$B$18))^10)/(1-((1+$A288)/(1+'Table G'!$B$18))))+('Table G'!$B$14+'Table G'!$B$15)*(1+$A288)^(10-1)*(1+'Table G'!$B$25)/(('Table G'!$B$18-'Table G'!$B$25)*(1+'Table G'!$B$18)^10),"")</f>
        <v>223352.29793279729</v>
      </c>
      <c r="D288" s="17">
        <f>IFERROR(('Table G'!$B$14+'Table G'!$B$15)/(1+'Table G'!$B$18)*IF(ABS(((1+$A288)/(1+'Table G'!$B$18))-1)&lt;0.000000001,5,(1-((1+$A288)/(1+'Table G'!$B$18))^5)/(1-((1+$A288)/(1+'Table G'!$B$18))))+('Table G'!$B$14+'Table G'!$B$15)*(1+$A288)^(5-1)*(1+'Table G'!$B$26)/(('Table G'!$B$18-'Table G'!$B$26)*(1+'Table G'!$B$18)^5),"")</f>
        <v>132455.48696663947</v>
      </c>
      <c r="E288" s="17">
        <f>IFERROR(('Table G'!$B$14+'Table G'!$B$15)/(1+'Table G'!$B$18)*IF(ABS(((1+$A288)/(1+'Table G'!$B$18))-1)&lt;0.000000001,10,(1-((1+$A288)/(1+'Table G'!$B$18))^10)/(1-((1+$A288)/(1+'Table G'!$B$18))))+('Table G'!$B$14+'Table G'!$B$15)*(1+$A288)^(10-1)*(1+'Table G'!$B$26)/(('Table G'!$B$18-'Table G'!$B$26)*(1+'Table G'!$B$18)^10),"")</f>
        <v>236449.28449006868</v>
      </c>
      <c r="F288" s="17">
        <f>IFERROR(('Table G'!$B$14+'Table G'!$B$15)/(1+'Table G'!$B$18)*IF(ABS(((1+$A288)/(1+'Table G'!$B$18))-1)&lt;0.000000001,5,(1-((1+$A288)/(1+'Table G'!$B$18))^5)/(1-((1+$A288)/(1+'Table G'!$B$18))))+('Table G'!$B$14+'Table G'!$B$15)*(1+$A288)^(5-1)*(1+'Table G'!$B$27)/(('Table G'!$B$18-'Table G'!$B$27)*(1+'Table G'!$B$18)^5),"")</f>
        <v>142185.72093981158</v>
      </c>
      <c r="G288" s="17">
        <f>IFERROR(('Table G'!$B$14+'Table G'!$B$15)/(1+'Table G'!$B$18)*IF(ABS(((1+$A288)/(1+'Table G'!$B$18))-1)&lt;0.000000001,10,(1-((1+$A288)/(1+'Table G'!$B$18))^10)/(1-((1+$A288)/(1+'Table G'!$B$18))))+('Table G'!$B$14+'Table G'!$B$15)*(1+$A288)^(10-1)*(1+'Table G'!$B$27)/(('Table G'!$B$18-'Table G'!$B$27)*(1+'Table G'!$B$18)^10),"")</f>
        <v>251826.20791272476</v>
      </c>
    </row>
    <row r="289" spans="1:7" x14ac:dyDescent="0.2">
      <c r="A289" s="8">
        <f>-0.1+285*$B$2</f>
        <v>0.18500000000000003</v>
      </c>
      <c r="B289" s="17">
        <f>IFERROR(('Table G'!$B$14+'Table G'!$B$15)/(1+'Table G'!$B$18)*IF(ABS(((1+$A289)/(1+'Table G'!$B$18))-1)&lt;0.000000001,5,(1-((1+$A289)/(1+'Table G'!$B$18))^5)/(1-((1+$A289)/(1+'Table G'!$B$18))))+('Table G'!$B$14+'Table G'!$B$15)*(1+$A289)^(5-1)*(1+'Table G'!$B$25)/(('Table G'!$B$18-'Table G'!$B$25)*(1+'Table G'!$B$18)^5),"")</f>
        <v>124546.2577564526</v>
      </c>
      <c r="C289" s="17">
        <f>IFERROR(('Table G'!$B$14+'Table G'!$B$15)/(1+'Table G'!$B$18)*IF(ABS(((1+$A289)/(1+'Table G'!$B$18))-1)&lt;0.000000001,10,(1-((1+$A289)/(1+'Table G'!$B$18))^10)/(1-((1+$A289)/(1+'Table G'!$B$18))))+('Table G'!$B$14+'Table G'!$B$15)*(1+$A289)^(10-1)*(1+'Table G'!$B$25)/(('Table G'!$B$18-'Table G'!$B$25)*(1+'Table G'!$B$18)^10),"")</f>
        <v>224832.76914421318</v>
      </c>
      <c r="D289" s="17">
        <f>IFERROR(('Table G'!$B$14+'Table G'!$B$15)/(1+'Table G'!$B$18)*IF(ABS(((1+$A289)/(1+'Table G'!$B$18))-1)&lt;0.000000001,5,(1-((1+$A289)/(1+'Table G'!$B$18))^5)/(1-((1+$A289)/(1+'Table G'!$B$18))))+('Table G'!$B$14+'Table G'!$B$15)*(1+$A289)^(5-1)*(1+'Table G'!$B$26)/(('Table G'!$B$18-'Table G'!$B$26)*(1+'Table G'!$B$18)^5),"")</f>
        <v>132861.82357619971</v>
      </c>
      <c r="E289" s="17">
        <f>IFERROR(('Table G'!$B$14+'Table G'!$B$15)/(1+'Table G'!$B$18)*IF(ABS(((1+$A289)/(1+'Table G'!$B$18))-1)&lt;0.000000001,10,(1-((1+$A289)/(1+'Table G'!$B$18))^10)/(1-((1+$A289)/(1+'Table G'!$B$18))))+('Table G'!$B$14+'Table G'!$B$15)*(1+$A289)^(10-1)*(1+'Table G'!$B$26)/(('Table G'!$B$18-'Table G'!$B$26)*(1+'Table G'!$B$18)^10),"")</f>
        <v>238029.64749538247</v>
      </c>
      <c r="F289" s="17">
        <f>IFERROR(('Table G'!$B$14+'Table G'!$B$15)/(1+'Table G'!$B$18)*IF(ABS(((1+$A289)/(1+'Table G'!$B$18))-1)&lt;0.000000001,5,(1-((1+$A289)/(1+'Table G'!$B$18))^5)/(1-((1+$A289)/(1+'Table G'!$B$18))))+('Table G'!$B$14+'Table G'!$B$15)*(1+$A289)^(5-1)*(1+'Table G'!$B$27)/(('Table G'!$B$18-'Table G'!$B$27)*(1+'Table G'!$B$18)^5),"")</f>
        <v>142624.97163068983</v>
      </c>
      <c r="G289" s="17">
        <f>IFERROR(('Table G'!$B$14+'Table G'!$B$15)/(1+'Table G'!$B$18)*IF(ABS(((1+$A289)/(1+'Table G'!$B$18))-1)&lt;0.000000001,10,(1-((1+$A289)/(1+'Table G'!$B$18))^10)/(1-((1+$A289)/(1+'Table G'!$B$18))))+('Table G'!$B$14+'Table G'!$B$15)*(1+$A289)^(10-1)*(1+'Table G'!$B$27)/(('Table G'!$B$18-'Table G'!$B$27)*(1+'Table G'!$B$18)^10),"")</f>
        <v>253523.85197796818</v>
      </c>
    </row>
    <row r="290" spans="1:7" x14ac:dyDescent="0.2">
      <c r="A290" s="8">
        <f>-0.1+286*$B$2</f>
        <v>0.18600000000000003</v>
      </c>
      <c r="B290" s="17">
        <f>IFERROR(('Table G'!$B$14+'Table G'!$B$15)/(1+'Table G'!$B$18)*IF(ABS(((1+$A290)/(1+'Table G'!$B$18))-1)&lt;0.000000001,5,(1-((1+$A290)/(1+'Table G'!$B$18))^5)/(1-((1+$A290)/(1+'Table G'!$B$18))))+('Table G'!$B$14+'Table G'!$B$15)*(1+$A290)^(5-1)*(1+'Table G'!$B$25)/(('Table G'!$B$18-'Table G'!$B$25)*(1+'Table G'!$B$18)^5),"")</f>
        <v>124925.48087221062</v>
      </c>
      <c r="C290" s="17">
        <f>IFERROR(('Table G'!$B$14+'Table G'!$B$15)/(1+'Table G'!$B$18)*IF(ABS(((1+$A290)/(1+'Table G'!$B$18))-1)&lt;0.000000001,10,(1-((1+$A290)/(1+'Table G'!$B$18))^10)/(1-((1+$A290)/(1+'Table G'!$B$18))))+('Table G'!$B$14+'Table G'!$B$15)*(1+$A290)^(10-1)*(1+'Table G'!$B$25)/(('Table G'!$B$18-'Table G'!$B$25)*(1+'Table G'!$B$18)^10),"")</f>
        <v>226322.67715045277</v>
      </c>
      <c r="D290" s="17">
        <f>IFERROR(('Table G'!$B$14+'Table G'!$B$15)/(1+'Table G'!$B$18)*IF(ABS(((1+$A290)/(1+'Table G'!$B$18))-1)&lt;0.000000001,5,(1-((1+$A290)/(1+'Table G'!$B$18))^5)/(1-((1+$A290)/(1+'Table G'!$B$18))))+('Table G'!$B$14+'Table G'!$B$15)*(1+$A290)^(5-1)*(1+'Table G'!$B$26)/(('Table G'!$B$18-'Table G'!$B$26)*(1+'Table G'!$B$18)^5),"")</f>
        <v>133269.1516633518</v>
      </c>
      <c r="E290" s="17">
        <f>IFERROR(('Table G'!$B$14+'Table G'!$B$15)/(1+'Table G'!$B$18)*IF(ABS(((1+$A290)/(1+'Table G'!$B$18))-1)&lt;0.000000001,10,(1-((1+$A290)/(1+'Table G'!$B$18))^10)/(1-((1+$A290)/(1+'Table G'!$B$18))))+('Table G'!$B$14+'Table G'!$B$15)*(1+$A290)^(10-1)*(1+'Table G'!$B$26)/(('Table G'!$B$18-'Table G'!$B$26)*(1+'Table G'!$B$18)^10),"")</f>
        <v>239620.12395176076</v>
      </c>
      <c r="F290" s="17">
        <f>IFERROR(('Table G'!$B$14+'Table G'!$B$15)/(1+'Table G'!$B$18)*IF(ABS(((1+$A290)/(1+'Table G'!$B$18))-1)&lt;0.000000001,5,(1-((1+$A290)/(1+'Table G'!$B$18))^5)/(1-((1+$A290)/(1+'Table G'!$B$18))))+('Table G'!$B$14+'Table G'!$B$15)*(1+$A290)^(5-1)*(1+'Table G'!$B$27)/(('Table G'!$B$18-'Table G'!$B$27)*(1+'Table G'!$B$18)^5),"")</f>
        <v>143065.29723150912</v>
      </c>
      <c r="G290" s="17">
        <f>IFERROR(('Table G'!$B$14+'Table G'!$B$15)/(1+'Table G'!$B$18)*IF(ABS(((1+$A290)/(1+'Table G'!$B$18))-1)&lt;0.000000001,10,(1-((1+$A290)/(1+'Table G'!$B$18))^10)/(1-((1+$A290)/(1+'Table G'!$B$18))))+('Table G'!$B$14+'Table G'!$B$15)*(1+$A290)^(10-1)*(1+'Table G'!$B$27)/(('Table G'!$B$18-'Table G'!$B$27)*(1+'Table G'!$B$18)^10),"")</f>
        <v>255232.40394352976</v>
      </c>
    </row>
    <row r="291" spans="1:7" x14ac:dyDescent="0.2">
      <c r="A291" s="8">
        <f>-0.1+287*$B$2</f>
        <v>0.18700000000000003</v>
      </c>
      <c r="B291" s="17">
        <f>IFERROR(('Table G'!$B$14+'Table G'!$B$15)/(1+'Table G'!$B$18)*IF(ABS(((1+$A291)/(1+'Table G'!$B$18))-1)&lt;0.000000001,5,(1-((1+$A291)/(1+'Table G'!$B$18))^5)/(1-((1+$A291)/(1+'Table G'!$B$18))))+('Table G'!$B$14+'Table G'!$B$15)*(1+$A291)^(5-1)*(1+'Table G'!$B$25)/(('Table G'!$B$18-'Table G'!$B$25)*(1+'Table G'!$B$18)^5),"")</f>
        <v>125305.62592353654</v>
      </c>
      <c r="C291" s="17">
        <f>IFERROR(('Table G'!$B$14+'Table G'!$B$15)/(1+'Table G'!$B$18)*IF(ABS(((1+$A291)/(1+'Table G'!$B$18))-1)&lt;0.000000001,10,(1-((1+$A291)/(1+'Table G'!$B$18))^10)/(1-((1+$A291)/(1+'Table G'!$B$18))))+('Table G'!$B$14+'Table G'!$B$15)*(1+$A291)^(10-1)*(1+'Table G'!$B$25)/(('Table G'!$B$18-'Table G'!$B$25)*(1+'Table G'!$B$18)^10),"")</f>
        <v>227822.07591159287</v>
      </c>
      <c r="D291" s="17">
        <f>IFERROR(('Table G'!$B$14+'Table G'!$B$15)/(1+'Table G'!$B$18)*IF(ABS(((1+$A291)/(1+'Table G'!$B$18))-1)&lt;0.000000001,5,(1-((1+$A291)/(1+'Table G'!$B$18))^5)/(1-((1+$A291)/(1+'Table G'!$B$18))))+('Table G'!$B$14+'Table G'!$B$15)*(1+$A291)^(5-1)*(1+'Table G'!$B$26)/(('Table G'!$B$18-'Table G'!$B$26)*(1+'Table G'!$B$18)^5),"")</f>
        <v>133677.47286789046</v>
      </c>
      <c r="E291" s="17">
        <f>IFERROR(('Table G'!$B$14+'Table G'!$B$15)/(1+'Table G'!$B$18)*IF(ABS(((1+$A291)/(1+'Table G'!$B$18))-1)&lt;0.000000001,10,(1-((1+$A291)/(1+'Table G'!$B$18))^10)/(1-((1+$A291)/(1+'Table G'!$B$18))))+('Table G'!$B$14+'Table G'!$B$15)*(1+$A291)^(10-1)*(1+'Table G'!$B$26)/(('Table G'!$B$18-'Table G'!$B$26)*(1+'Table G'!$B$18)^10),"")</f>
        <v>241220.77182653634</v>
      </c>
      <c r="F291" s="17">
        <f>IFERROR(('Table G'!$B$14+'Table G'!$B$15)/(1+'Table G'!$B$18)*IF(ABS(((1+$A291)/(1+'Table G'!$B$18))-1)&lt;0.000000001,5,(1-((1+$A291)/(1+'Table G'!$B$18))^5)/(1-((1+$A291)/(1+'Table G'!$B$18))))+('Table G'!$B$14+'Table G'!$B$15)*(1+$A291)^(5-1)*(1+'Table G'!$B$27)/(('Table G'!$B$18-'Table G'!$B$27)*(1+'Table G'!$B$18)^5),"")</f>
        <v>143506.69952293771</v>
      </c>
      <c r="G291" s="17">
        <f>IFERROR(('Table G'!$B$14+'Table G'!$B$15)/(1+'Table G'!$B$18)*IF(ABS(((1+$A291)/(1+'Table G'!$B$18))-1)&lt;0.000000001,10,(1-((1+$A291)/(1+'Table G'!$B$18))^10)/(1-((1+$A291)/(1+'Table G'!$B$18))))+('Table G'!$B$14+'Table G'!$B$15)*(1+$A291)^(10-1)*(1+'Table G'!$B$27)/(('Table G'!$B$18-'Table G'!$B$27)*(1+'Table G'!$B$18)^10),"")</f>
        <v>256951.92648158583</v>
      </c>
    </row>
    <row r="292" spans="1:7" x14ac:dyDescent="0.2">
      <c r="A292" s="8">
        <f>-0.1+288*$B$2</f>
        <v>0.18800000000000003</v>
      </c>
      <c r="B292" s="17">
        <f>IFERROR(('Table G'!$B$14+'Table G'!$B$15)/(1+'Table G'!$B$18)*IF(ABS(((1+$A292)/(1+'Table G'!$B$18))-1)&lt;0.000000001,5,(1-((1+$A292)/(1+'Table G'!$B$18))^5)/(1-((1+$A292)/(1+'Table G'!$B$18))))+('Table G'!$B$14+'Table G'!$B$15)*(1+$A292)^(5-1)*(1+'Table G'!$B$25)/(('Table G'!$B$18-'Table G'!$B$25)*(1+'Table G'!$B$18)^5),"")</f>
        <v>125686.69443150281</v>
      </c>
      <c r="C292" s="17">
        <f>IFERROR(('Table G'!$B$14+'Table G'!$B$15)/(1+'Table G'!$B$18)*IF(ABS(((1+$A292)/(1+'Table G'!$B$18))-1)&lt;0.000000001,10,(1-((1+$A292)/(1+'Table G'!$B$18))^10)/(1-((1+$A292)/(1+'Table G'!$B$18))))+('Table G'!$B$14+'Table G'!$B$15)*(1+$A292)^(10-1)*(1+'Table G'!$B$25)/(('Table G'!$B$18-'Table G'!$B$25)*(1+'Table G'!$B$18)^10),"")</f>
        <v>229331.01965514576</v>
      </c>
      <c r="D292" s="17">
        <f>IFERROR(('Table G'!$B$14+'Table G'!$B$15)/(1+'Table G'!$B$18)*IF(ABS(((1+$A292)/(1+'Table G'!$B$18))-1)&lt;0.000000001,5,(1-((1+$A292)/(1+'Table G'!$B$18))^5)/(1-((1+$A292)/(1+'Table G'!$B$18))))+('Table G'!$B$14+'Table G'!$B$15)*(1+$A292)^(5-1)*(1+'Table G'!$B$26)/(('Table G'!$B$18-'Table G'!$B$26)*(1+'Table G'!$B$18)^5),"")</f>
        <v>134086.78883097548</v>
      </c>
      <c r="E292" s="17">
        <f>IFERROR(('Table G'!$B$14+'Table G'!$B$15)/(1+'Table G'!$B$18)*IF(ABS(((1+$A292)/(1+'Table G'!$B$18))-1)&lt;0.000000001,10,(1-((1+$A292)/(1+'Table G'!$B$18))^10)/(1-((1+$A292)/(1+'Table G'!$B$18))))+('Table G'!$B$14+'Table G'!$B$15)*(1+$A292)^(10-1)*(1+'Table G'!$B$26)/(('Table G'!$B$18-'Table G'!$B$26)*(1+'Table G'!$B$18)^10),"")</f>
        <v>242831.6493748019</v>
      </c>
      <c r="F292" s="17">
        <f>IFERROR(('Table G'!$B$14+'Table G'!$B$15)/(1+'Table G'!$B$18)*IF(ABS(((1+$A292)/(1+'Table G'!$B$18))-1)&lt;0.000000001,5,(1-((1+$A292)/(1+'Table G'!$B$18))^5)/(1-((1+$A292)/(1+'Table G'!$B$18))))+('Table G'!$B$14+'Table G'!$B$15)*(1+$A292)^(5-1)*(1+'Table G'!$B$27)/(('Table G'!$B$18-'Table G'!$B$27)*(1+'Table G'!$B$18)^5),"")</f>
        <v>143949.18028712762</v>
      </c>
      <c r="G292" s="17">
        <f>IFERROR(('Table G'!$B$14+'Table G'!$B$15)/(1+'Table G'!$B$18)*IF(ABS(((1+$A292)/(1+'Table G'!$B$18))-1)&lt;0.000000001,10,(1-((1+$A292)/(1+'Table G'!$B$18))^10)/(1-((1+$A292)/(1+'Table G'!$B$18))))+('Table G'!$B$14+'Table G'!$B$15)*(1+$A292)^(10-1)*(1+'Table G'!$B$27)/(('Table G'!$B$18-'Table G'!$B$27)*(1+'Table G'!$B$18)^10),"")</f>
        <v>258682.48257593464</v>
      </c>
    </row>
    <row r="293" spans="1:7" x14ac:dyDescent="0.2">
      <c r="A293" s="8">
        <f>-0.1+289*$B$2</f>
        <v>0.18899999999999997</v>
      </c>
      <c r="B293" s="17">
        <f>IFERROR(('Table G'!$B$14+'Table G'!$B$15)/(1+'Table G'!$B$18)*IF(ABS(((1+$A293)/(1+'Table G'!$B$18))-1)&lt;0.000000001,5,(1-((1+$A293)/(1+'Table G'!$B$18))^5)/(1-((1+$A293)/(1+'Table G'!$B$18))))+('Table G'!$B$14+'Table G'!$B$15)*(1+$A293)^(5-1)*(1+'Table G'!$B$25)/(('Table G'!$B$18-'Table G'!$B$25)*(1+'Table G'!$B$18)^5),"")</f>
        <v>126068.68791844608</v>
      </c>
      <c r="C293" s="17">
        <f>IFERROR(('Table G'!$B$14+'Table G'!$B$15)/(1+'Table G'!$B$18)*IF(ABS(((1+$A293)/(1+'Table G'!$B$18))-1)&lt;0.000000001,10,(1-((1+$A293)/(1+'Table G'!$B$18))^10)/(1-((1+$A293)/(1+'Table G'!$B$18))))+('Table G'!$B$14+'Table G'!$B$15)*(1+$A293)^(10-1)*(1+'Table G'!$B$25)/(('Table G'!$B$18-'Table G'!$B$25)*(1+'Table G'!$B$18)^10),"")</f>
        <v>230849.56287717208</v>
      </c>
      <c r="D293" s="17">
        <f>IFERROR(('Table G'!$B$14+'Table G'!$B$15)/(1+'Table G'!$B$18)*IF(ABS(((1+$A293)/(1+'Table G'!$B$18))-1)&lt;0.000000001,5,(1-((1+$A293)/(1+'Table G'!$B$18))^5)/(1-((1+$A293)/(1+'Table G'!$B$18))))+('Table G'!$B$14+'Table G'!$B$15)*(1+$A293)^(5-1)*(1+'Table G'!$B$26)/(('Table G'!$B$18-'Table G'!$B$26)*(1+'Table G'!$B$18)^5),"")</f>
        <v>134497.10119513207</v>
      </c>
      <c r="E293" s="17">
        <f>IFERROR(('Table G'!$B$14+'Table G'!$B$15)/(1+'Table G'!$B$18)*IF(ABS(((1+$A293)/(1+'Table G'!$B$18))-1)&lt;0.000000001,10,(1-((1+$A293)/(1+'Table G'!$B$18))^10)/(1-((1+$A293)/(1+'Table G'!$B$18))))+('Table G'!$B$14+'Table G'!$B$15)*(1+$A293)^(10-1)*(1+'Table G'!$B$26)/(('Table G'!$B$18-'Table G'!$B$26)*(1+'Table G'!$B$18)^10),"")</f>
        <v>244452.81514060829</v>
      </c>
      <c r="F293" s="17">
        <f>IFERROR(('Table G'!$B$14+'Table G'!$B$15)/(1+'Table G'!$B$18)*IF(ABS(((1+$A293)/(1+'Table G'!$B$18))-1)&lt;0.000000001,5,(1-((1+$A293)/(1+'Table G'!$B$18))^5)/(1-((1+$A293)/(1+'Table G'!$B$18))))+('Table G'!$B$14+'Table G'!$B$15)*(1+$A293)^(5-1)*(1+'Table G'!$B$27)/(('Table G'!$B$18-'Table G'!$B$27)*(1+'Table G'!$B$18)^5),"")</f>
        <v>144392.7413077153</v>
      </c>
      <c r="G293" s="17">
        <f>IFERROR(('Table G'!$B$14+'Table G'!$B$15)/(1+'Table G'!$B$18)*IF(ABS(((1+$A293)/(1+'Table G'!$B$18))-1)&lt;0.000000001,10,(1-((1+$A293)/(1+'Table G'!$B$18))^10)/(1-((1+$A293)/(1+'Table G'!$B$18))))+('Table G'!$B$14+'Table G'!$B$15)*(1+$A293)^(10-1)*(1+'Table G'!$B$27)/(('Table G'!$B$18-'Table G'!$B$27)*(1+'Table G'!$B$18)^10),"")</f>
        <v>260424.13552329573</v>
      </c>
    </row>
    <row r="294" spans="1:7" x14ac:dyDescent="0.2">
      <c r="A294" s="8">
        <f>-0.1+290*$B$2</f>
        <v>0.18999999999999997</v>
      </c>
      <c r="B294" s="17">
        <f>IFERROR(('Table G'!$B$14+'Table G'!$B$15)/(1+'Table G'!$B$18)*IF(ABS(((1+$A294)/(1+'Table G'!$B$18))-1)&lt;0.000000001,5,(1-((1+$A294)/(1+'Table G'!$B$18))^5)/(1-((1+$A294)/(1+'Table G'!$B$18))))+('Table G'!$B$14+'Table G'!$B$15)*(1+$A294)^(5-1)*(1+'Table G'!$B$25)/(('Table G'!$B$18-'Table G'!$B$25)*(1+'Table G'!$B$18)^5),"")</f>
        <v>126451.60790796664</v>
      </c>
      <c r="C294" s="17">
        <f>IFERROR(('Table G'!$B$14+'Table G'!$B$15)/(1+'Table G'!$B$18)*IF(ABS(((1+$A294)/(1+'Table G'!$B$18))-1)&lt;0.000000001,10,(1-((1+$A294)/(1+'Table G'!$B$18))^10)/(1-((1+$A294)/(1+'Table G'!$B$18))))+('Table G'!$B$14+'Table G'!$B$15)*(1+$A294)^(10-1)*(1+'Table G'!$B$25)/(('Table G'!$B$18-'Table G'!$B$25)*(1+'Table G'!$B$18)^10),"")</f>
        <v>232377.76034339238</v>
      </c>
      <c r="D294" s="17">
        <f>IFERROR(('Table G'!$B$14+'Table G'!$B$15)/(1+'Table G'!$B$18)*IF(ABS(((1+$A294)/(1+'Table G'!$B$18))-1)&lt;0.000000001,5,(1-((1+$A294)/(1+'Table G'!$B$18))^5)/(1-((1+$A294)/(1+'Table G'!$B$18))))+('Table G'!$B$14+'Table G'!$B$15)*(1+$A294)^(5-1)*(1+'Table G'!$B$26)/(('Table G'!$B$18-'Table G'!$B$26)*(1+'Table G'!$B$18)^5),"")</f>
        <v>134908.41160425037</v>
      </c>
      <c r="E294" s="17">
        <f>IFERROR(('Table G'!$B$14+'Table G'!$B$15)/(1+'Table G'!$B$18)*IF(ABS(((1+$A294)/(1+'Table G'!$B$18))-1)&lt;0.000000001,10,(1-((1+$A294)/(1+'Table G'!$B$18))^10)/(1-((1+$A294)/(1+'Table G'!$B$18))))+('Table G'!$B$14+'Table G'!$B$15)*(1+$A294)^(10-1)*(1+'Table G'!$B$26)/(('Table G'!$B$18-'Table G'!$B$26)*(1+'Table G'!$B$18)^10),"")</f>
        <v>246084.32795816247</v>
      </c>
      <c r="F294" s="17">
        <f>IFERROR(('Table G'!$B$14+'Table G'!$B$15)/(1+'Table G'!$B$18)*IF(ABS(((1+$A294)/(1+'Table G'!$B$18))-1)&lt;0.000000001,5,(1-((1+$A294)/(1+'Table G'!$B$18))^5)/(1-((1+$A294)/(1+'Table G'!$B$18))))+('Table G'!$B$14+'Table G'!$B$15)*(1+$A294)^(5-1)*(1+'Table G'!$B$27)/(('Table G'!$B$18-'Table G'!$B$27)*(1+'Table G'!$B$18)^5),"")</f>
        <v>144837.38436982082</v>
      </c>
      <c r="G294" s="17">
        <f>IFERROR(('Table G'!$B$14+'Table G'!$B$15)/(1+'Table G'!$B$18)*IF(ABS(((1+$A294)/(1+'Table G'!$B$18))-1)&lt;0.000000001,10,(1-((1+$A294)/(1+'Table G'!$B$18))^10)/(1-((1+$A294)/(1+'Table G'!$B$18))))+('Table G'!$B$14+'Table G'!$B$15)*(1+$A294)^(10-1)*(1+'Table G'!$B$27)/(('Table G'!$B$18-'Table G'!$B$27)*(1+'Table G'!$B$18)^10),"")</f>
        <v>262176.94893460849</v>
      </c>
    </row>
    <row r="295" spans="1:7" x14ac:dyDescent="0.2">
      <c r="A295" s="8">
        <f>-0.1+291*$B$2</f>
        <v>0.19099999999999998</v>
      </c>
      <c r="B295" s="17">
        <f>IFERROR(('Table G'!$B$14+'Table G'!$B$15)/(1+'Table G'!$B$18)*IF(ABS(((1+$A295)/(1+'Table G'!$B$18))-1)&lt;0.000000001,5,(1-((1+$A295)/(1+'Table G'!$B$18))^5)/(1-((1+$A295)/(1+'Table G'!$B$18))))+('Table G'!$B$14+'Table G'!$B$15)*(1+$A295)^(5-1)*(1+'Table G'!$B$25)/(('Table G'!$B$18-'Table G'!$B$25)*(1+'Table G'!$B$18)^5),"")</f>
        <v>126835.45592492925</v>
      </c>
      <c r="C295" s="17">
        <f>IFERROR(('Table G'!$B$14+'Table G'!$B$15)/(1+'Table G'!$B$18)*IF(ABS(((1+$A295)/(1+'Table G'!$B$18))-1)&lt;0.000000001,10,(1-((1+$A295)/(1+'Table G'!$B$18))^10)/(1-((1+$A295)/(1+'Table G'!$B$18))))+('Table G'!$B$14+'Table G'!$B$15)*(1+$A295)^(10-1)*(1+'Table G'!$B$25)/(('Table G'!$B$18-'Table G'!$B$25)*(1+'Table G'!$B$18)^10),"")</f>
        <v>233915.66709030984</v>
      </c>
      <c r="D295" s="17">
        <f>IFERROR(('Table G'!$B$14+'Table G'!$B$15)/(1+'Table G'!$B$18)*IF(ABS(((1+$A295)/(1+'Table G'!$B$18))-1)&lt;0.000000001,5,(1-((1+$A295)/(1+'Table G'!$B$18))^5)/(1-((1+$A295)/(1+'Table G'!$B$18))))+('Table G'!$B$14+'Table G'!$B$15)*(1+$A295)^(5-1)*(1+'Table G'!$B$26)/(('Table G'!$B$18-'Table G'!$B$26)*(1+'Table G'!$B$18)^5),"")</f>
        <v>135320.72170358623</v>
      </c>
      <c r="E295" s="17">
        <f>IFERROR(('Table G'!$B$14+'Table G'!$B$15)/(1+'Table G'!$B$18)*IF(ABS(((1+$A295)/(1+'Table G'!$B$18))-1)&lt;0.000000001,10,(1-((1+$A295)/(1+'Table G'!$B$18))^10)/(1-((1+$A295)/(1+'Table G'!$B$18))))+('Table G'!$B$14+'Table G'!$B$15)*(1+$A295)^(10-1)*(1+'Table G'!$B$26)/(('Table G'!$B$18-'Table G'!$B$26)*(1+'Table G'!$B$18)^10),"")</f>
        <v>247726.24695303652</v>
      </c>
      <c r="F295" s="17">
        <f>IFERROR(('Table G'!$B$14+'Table G'!$B$15)/(1+'Table G'!$B$18)*IF(ABS(((1+$A295)/(1+'Table G'!$B$18))-1)&lt;0.000000001,5,(1-((1+$A295)/(1+'Table G'!$B$18))^5)/(1-((1+$A295)/(1+'Table G'!$B$18))))+('Table G'!$B$14+'Table G'!$B$15)*(1+$A295)^(5-1)*(1+'Table G'!$B$27)/(('Table G'!$B$18-'Table G'!$B$27)*(1+'Table G'!$B$18)^5),"")</f>
        <v>145283.11126004884</v>
      </c>
      <c r="G295" s="17">
        <f>IFERROR(('Table G'!$B$14+'Table G'!$B$15)/(1+'Table G'!$B$18)*IF(ABS(((1+$A295)/(1+'Table G'!$B$18))-1)&lt;0.000000001,10,(1-((1+$A295)/(1+'Table G'!$B$18))^10)/(1-((1+$A295)/(1+'Table G'!$B$18))))+('Table G'!$B$14+'Table G'!$B$15)*(1+$A295)^(10-1)*(1+'Table G'!$B$27)/(('Table G'!$B$18-'Table G'!$B$27)*(1+'Table G'!$B$18)^10),"")</f>
        <v>263940.98673634342</v>
      </c>
    </row>
    <row r="296" spans="1:7" x14ac:dyDescent="0.2">
      <c r="A296" s="8">
        <f>-0.1+292*$B$2</f>
        <v>0.19199999999999998</v>
      </c>
      <c r="B296" s="17">
        <f>IFERROR(('Table G'!$B$14+'Table G'!$B$15)/(1+'Table G'!$B$18)*IF(ABS(((1+$A296)/(1+'Table G'!$B$18))-1)&lt;0.000000001,5,(1-((1+$A296)/(1+'Table G'!$B$18))^5)/(1-((1+$A296)/(1+'Table G'!$B$18))))+('Table G'!$B$14+'Table G'!$B$15)*(1+$A296)^(5-1)*(1+'Table G'!$B$25)/(('Table G'!$B$18-'Table G'!$B$25)*(1+'Table G'!$B$18)^5),"")</f>
        <v>127220.23349546235</v>
      </c>
      <c r="C296" s="17">
        <f>IFERROR(('Table G'!$B$14+'Table G'!$B$15)/(1+'Table G'!$B$18)*IF(ABS(((1+$A296)/(1+'Table G'!$B$18))-1)&lt;0.000000001,10,(1-((1+$A296)/(1+'Table G'!$B$18))^10)/(1-((1+$A296)/(1+'Table G'!$B$18))))+('Table G'!$B$14+'Table G'!$B$15)*(1+$A296)^(10-1)*(1+'Table G'!$B$25)/(('Table G'!$B$18-'Table G'!$B$25)*(1+'Table G'!$B$18)^10),"")</f>
        <v>235463.33842632803</v>
      </c>
      <c r="D296" s="17">
        <f>IFERROR(('Table G'!$B$14+'Table G'!$B$15)/(1+'Table G'!$B$18)*IF(ABS(((1+$A296)/(1+'Table G'!$B$18))-1)&lt;0.000000001,5,(1-((1+$A296)/(1+'Table G'!$B$18))^5)/(1-((1+$A296)/(1+'Table G'!$B$18))))+('Table G'!$B$14+'Table G'!$B$15)*(1+$A296)^(5-1)*(1+'Table G'!$B$26)/(('Table G'!$B$18-'Table G'!$B$26)*(1+'Table G'!$B$18)^5),"")</f>
        <v>135734.0331397602</v>
      </c>
      <c r="E296" s="17">
        <f>IFERROR(('Table G'!$B$14+'Table G'!$B$15)/(1+'Table G'!$B$18)*IF(ABS(((1+$A296)/(1+'Table G'!$B$18))-1)&lt;0.000000001,10,(1-((1+$A296)/(1+'Table G'!$B$18))^10)/(1-((1+$A296)/(1+'Table G'!$B$18))))+('Table G'!$B$14+'Table G'!$B$15)*(1+$A296)^(10-1)*(1+'Table G'!$B$26)/(('Table G'!$B$18-'Table G'!$B$26)*(1+'Table G'!$B$18)^10),"")</f>
        <v>249378.63154337206</v>
      </c>
      <c r="F296" s="17">
        <f>IFERROR(('Table G'!$B$14+'Table G'!$B$15)/(1+'Table G'!$B$18)*IF(ABS(((1+$A296)/(1+'Table G'!$B$18))-1)&lt;0.000000001,5,(1-((1+$A296)/(1+'Table G'!$B$18))^5)/(1-((1+$A296)/(1+'Table G'!$B$18))))+('Table G'!$B$14+'Table G'!$B$15)*(1+$A296)^(5-1)*(1+'Table G'!$B$27)/(('Table G'!$B$18-'Table G'!$B$27)*(1+'Table G'!$B$18)^5),"")</f>
        <v>145729.92376648757</v>
      </c>
      <c r="G296" s="17">
        <f>IFERROR(('Table G'!$B$14+'Table G'!$B$15)/(1+'Table G'!$B$18)*IF(ABS(((1+$A296)/(1+'Table G'!$B$18))-1)&lt;0.000000001,10,(1-((1+$A296)/(1+'Table G'!$B$18))^10)/(1-((1+$A296)/(1+'Table G'!$B$18))))+('Table G'!$B$14+'Table G'!$B$15)*(1+$A296)^(10-1)*(1+'Table G'!$B$27)/(('Table G'!$B$18-'Table G'!$B$27)*(1+'Table G'!$B$18)^10),"")</f>
        <v>265716.31317180756</v>
      </c>
    </row>
    <row r="297" spans="1:7" x14ac:dyDescent="0.2">
      <c r="A297" s="8">
        <f>-0.1+293*$B$2</f>
        <v>0.19299999999999998</v>
      </c>
      <c r="B297" s="17">
        <f>IFERROR(('Table G'!$B$14+'Table G'!$B$15)/(1+'Table G'!$B$18)*IF(ABS(((1+$A297)/(1+'Table G'!$B$18))-1)&lt;0.000000001,5,(1-((1+$A297)/(1+'Table G'!$B$18))^5)/(1-((1+$A297)/(1+'Table G'!$B$18))))+('Table G'!$B$14+'Table G'!$B$15)*(1+$A297)^(5-1)*(1+'Table G'!$B$25)/(('Table G'!$B$18-'Table G'!$B$25)*(1+'Table G'!$B$18)^5),"")</f>
        <v>127605.94214695864</v>
      </c>
      <c r="C297" s="17">
        <f>IFERROR(('Table G'!$B$14+'Table G'!$B$15)/(1+'Table G'!$B$18)*IF(ABS(((1+$A297)/(1+'Table G'!$B$18))-1)&lt;0.000000001,10,(1-((1+$A297)/(1+'Table G'!$B$18))^10)/(1-((1+$A297)/(1+'Table G'!$B$18))))+('Table G'!$B$14+'Table G'!$B$15)*(1+$A297)^(10-1)*(1+'Table G'!$B$25)/(('Table G'!$B$18-'Table G'!$B$25)*(1+'Table G'!$B$18)^10),"")</f>
        <v>237020.82993288021</v>
      </c>
      <c r="D297" s="17">
        <f>IFERROR(('Table G'!$B$14+'Table G'!$B$15)/(1+'Table G'!$B$18)*IF(ABS(((1+$A297)/(1+'Table G'!$B$18))-1)&lt;0.000000001,5,(1-((1+$A297)/(1+'Table G'!$B$18))^5)/(1-((1+$A297)/(1+'Table G'!$B$18))))+('Table G'!$B$14+'Table G'!$B$15)*(1+$A297)^(5-1)*(1+'Table G'!$B$26)/(('Table G'!$B$18-'Table G'!$B$26)*(1+'Table G'!$B$18)^5),"")</f>
        <v>136148.34756075847</v>
      </c>
      <c r="E297" s="17">
        <f>IFERROR(('Table G'!$B$14+'Table G'!$B$15)/(1+'Table G'!$B$18)*IF(ABS(((1+$A297)/(1+'Table G'!$B$18))-1)&lt;0.000000001,10,(1-((1+$A297)/(1+'Table G'!$B$18))^10)/(1-((1+$A297)/(1+'Table G'!$B$18))))+('Table G'!$B$14+'Table G'!$B$15)*(1+$A297)^(10-1)*(1+'Table G'!$B$26)/(('Table G'!$B$18-'Table G'!$B$26)*(1+'Table G'!$B$18)^10),"")</f>
        <v>251041.54144109666</v>
      </c>
      <c r="F297" s="17">
        <f>IFERROR(('Table G'!$B$14+'Table G'!$B$15)/(1+'Table G'!$B$18)*IF(ABS(((1+$A297)/(1+'Table G'!$B$18))-1)&lt;0.000000001,5,(1-((1+$A297)/(1+'Table G'!$B$18))^5)/(1-((1+$A297)/(1+'Table G'!$B$18))))+('Table G'!$B$14+'Table G'!$B$15)*(1+$A297)^(5-1)*(1+'Table G'!$B$27)/(('Table G'!$B$18-'Table G'!$B$27)*(1+'Table G'!$B$18)^5),"")</f>
        <v>146177.82367870974</v>
      </c>
      <c r="G297" s="17">
        <f>IFERROR(('Table G'!$B$14+'Table G'!$B$15)/(1+'Table G'!$B$18)*IF(ABS(((1+$A297)/(1+'Table G'!$B$18))-1)&lt;0.000000001,10,(1-((1+$A297)/(1+'Table G'!$B$18))^10)/(1-((1+$A297)/(1+'Table G'!$B$18))))+('Table G'!$B$14+'Table G'!$B$15)*(1+$A297)^(10-1)*(1+'Table G'!$B$27)/(('Table G'!$B$18-'Table G'!$B$27)*(1+'Table G'!$B$18)^10),"")</f>
        <v>267502.99280246347</v>
      </c>
    </row>
    <row r="298" spans="1:7" x14ac:dyDescent="0.2">
      <c r="A298" s="8">
        <f>-0.1+294*$B$2</f>
        <v>0.19399999999999998</v>
      </c>
      <c r="B298" s="17">
        <f>IFERROR(('Table G'!$B$14+'Table G'!$B$15)/(1+'Table G'!$B$18)*IF(ABS(((1+$A298)/(1+'Table G'!$B$18))-1)&lt;0.000000001,5,(1-((1+$A298)/(1+'Table G'!$B$18))^5)/(1-((1+$A298)/(1+'Table G'!$B$18))))+('Table G'!$B$14+'Table G'!$B$15)*(1+$A298)^(5-1)*(1+'Table G'!$B$25)/(('Table G'!$B$18-'Table G'!$B$25)*(1+'Table G'!$B$18)^5),"")</f>
        <v>127992.58340807463</v>
      </c>
      <c r="C298" s="17">
        <f>IFERROR(('Table G'!$B$14+'Table G'!$B$15)/(1+'Table G'!$B$18)*IF(ABS(((1+$A298)/(1+'Table G'!$B$18))-1)&lt;0.000000001,10,(1-((1+$A298)/(1+'Table G'!$B$18))^10)/(1-((1+$A298)/(1+'Table G'!$B$18))))+('Table G'!$B$14+'Table G'!$B$15)*(1+$A298)^(10-1)*(1+'Table G'!$B$25)/(('Table G'!$B$18-'Table G'!$B$25)*(1+'Table G'!$B$18)^10),"")</f>
        <v>238588.1974655565</v>
      </c>
      <c r="D298" s="17">
        <f>IFERROR(('Table G'!$B$14+'Table G'!$B$15)/(1+'Table G'!$B$18)*IF(ABS(((1+$A298)/(1+'Table G'!$B$18))-1)&lt;0.000000001,5,(1-((1+$A298)/(1+'Table G'!$B$18))^5)/(1-((1+$A298)/(1+'Table G'!$B$18))))+('Table G'!$B$14+'Table G'!$B$15)*(1+$A298)^(5-1)*(1+'Table G'!$B$26)/(('Table G'!$B$18-'Table G'!$B$26)*(1+'Table G'!$B$18)^5),"")</f>
        <v>136563.66661593219</v>
      </c>
      <c r="E298" s="17">
        <f>IFERROR(('Table G'!$B$14+'Table G'!$B$15)/(1+'Table G'!$B$18)*IF(ABS(((1+$A298)/(1+'Table G'!$B$18))-1)&lt;0.000000001,10,(1-((1+$A298)/(1+'Table G'!$B$18))^10)/(1-((1+$A298)/(1+'Table G'!$B$18))))+('Table G'!$B$14+'Table G'!$B$15)*(1+$A298)^(10-1)*(1+'Table G'!$B$26)/(('Table G'!$B$18-'Table G'!$B$26)*(1+'Table G'!$B$18)^10),"")</f>
        <v>252715.03665313812</v>
      </c>
      <c r="F298" s="17">
        <f>IFERROR(('Table G'!$B$14+'Table G'!$B$15)/(1+'Table G'!$B$18)*IF(ABS(((1+$A298)/(1+'Table G'!$B$18))-1)&lt;0.000000001,5,(1-((1+$A298)/(1+'Table G'!$B$18))^5)/(1-((1+$A298)/(1+'Table G'!$B$18))))+('Table G'!$B$14+'Table G'!$B$15)*(1+$A298)^(5-1)*(1+'Table G'!$B$27)/(('Table G'!$B$18-'Table G'!$B$27)*(1+'Table G'!$B$18)^5),"")</f>
        <v>146626.81278777169</v>
      </c>
      <c r="G298" s="17">
        <f>IFERROR(('Table G'!$B$14+'Table G'!$B$15)/(1+'Table G'!$B$18)*IF(ABS(((1+$A298)/(1+'Table G'!$B$18))-1)&lt;0.000000001,10,(1-((1+$A298)/(1+'Table G'!$B$18))^10)/(1-((1+$A298)/(1+'Table G'!$B$18))))+('Table G'!$B$14+'Table G'!$B$15)*(1+$A298)^(10-1)*(1+'Table G'!$B$27)/(('Table G'!$B$18-'Table G'!$B$27)*(1+'Table G'!$B$18)^10),"")</f>
        <v>269301.09050924564</v>
      </c>
    </row>
    <row r="299" spans="1:7" x14ac:dyDescent="0.2">
      <c r="A299" s="8">
        <f>-0.1+295*$B$2</f>
        <v>0.19499999999999998</v>
      </c>
      <c r="B299" s="17">
        <f>IFERROR(('Table G'!$B$14+'Table G'!$B$15)/(1+'Table G'!$B$18)*IF(ABS(((1+$A299)/(1+'Table G'!$B$18))-1)&lt;0.000000001,5,(1-((1+$A299)/(1+'Table G'!$B$18))^5)/(1-((1+$A299)/(1+'Table G'!$B$18))))+('Table G'!$B$14+'Table G'!$B$15)*(1+$A299)^(5-1)*(1+'Table G'!$B$25)/(('Table G'!$B$18-'Table G'!$B$25)*(1+'Table G'!$B$18)^5),"")</f>
        <v>128380.15880873104</v>
      </c>
      <c r="C299" s="17">
        <f>IFERROR(('Table G'!$B$14+'Table G'!$B$15)/(1+'Table G'!$B$18)*IF(ABS(((1+$A299)/(1+'Table G'!$B$18))-1)&lt;0.000000001,10,(1-((1+$A299)/(1+'Table G'!$B$18))^10)/(1-((1+$A299)/(1+'Table G'!$B$18))))+('Table G'!$B$14+'Table G'!$B$15)*(1+$A299)^(10-1)*(1+'Table G'!$B$25)/(('Table G'!$B$18-'Table G'!$B$25)*(1+'Table G'!$B$18)^10),"")</f>
        <v>240165.49715523928</v>
      </c>
      <c r="D299" s="17">
        <f>IFERROR(('Table G'!$B$14+'Table G'!$B$15)/(1+'Table G'!$B$18)*IF(ABS(((1+$A299)/(1+'Table G'!$B$18))-1)&lt;0.000000001,5,(1-((1+$A299)/(1+'Table G'!$B$18))^5)/(1-((1+$A299)/(1+'Table G'!$B$18))))+('Table G'!$B$14+'Table G'!$B$15)*(1+$A299)^(5-1)*(1+'Table G'!$B$26)/(('Table G'!$B$18-'Table G'!$B$26)*(1+'Table G'!$B$18)^5),"")</f>
        <v>136979.99195599798</v>
      </c>
      <c r="E299" s="17">
        <f>IFERROR(('Table G'!$B$14+'Table G'!$B$15)/(1+'Table G'!$B$18)*IF(ABS(((1+$A299)/(1+'Table G'!$B$18))-1)&lt;0.000000001,10,(1-((1+$A299)/(1+'Table G'!$B$18))^10)/(1-((1+$A299)/(1+'Table G'!$B$18))))+('Table G'!$B$14+'Table G'!$B$15)*(1+$A299)^(10-1)*(1+'Table G'!$B$26)/(('Table G'!$B$18-'Table G'!$B$26)*(1+'Table G'!$B$18)^10),"")</f>
        <v>254399.17748264773</v>
      </c>
      <c r="F299" s="17">
        <f>IFERROR(('Table G'!$B$14+'Table G'!$B$15)/(1+'Table G'!$B$18)*IF(ABS(((1+$A299)/(1+'Table G'!$B$18))-1)&lt;0.000000001,5,(1-((1+$A299)/(1+'Table G'!$B$18))^5)/(1-((1+$A299)/(1+'Table G'!$B$18))))+('Table G'!$B$14+'Table G'!$B$15)*(1+$A299)^(5-1)*(1+'Table G'!$B$27)/(('Table G'!$B$18-'Table G'!$B$27)*(1+'Table G'!$B$18)^5),"")</f>
        <v>147076.89288621419</v>
      </c>
      <c r="G299" s="17">
        <f>IFERROR(('Table G'!$B$14+'Table G'!$B$15)/(1+'Table G'!$B$18)*IF(ABS(((1+$A299)/(1+'Table G'!$B$18))-1)&lt;0.000000001,10,(1-((1+$A299)/(1+'Table G'!$B$18))^10)/(1-((1+$A299)/(1+'Table G'!$B$18))))+('Table G'!$B$14+'Table G'!$B$15)*(1+$A299)^(10-1)*(1+'Table G'!$B$27)/(('Table G'!$B$18-'Table G'!$B$27)*(1+'Table G'!$B$18)^10),"")</f>
        <v>271110.6714938872</v>
      </c>
    </row>
    <row r="300" spans="1:7" x14ac:dyDescent="0.2">
      <c r="A300" s="8">
        <f>-0.1+296*$B$2</f>
        <v>0.19599999999999998</v>
      </c>
      <c r="B300" s="17">
        <f>IFERROR(('Table G'!$B$14+'Table G'!$B$15)/(1+'Table G'!$B$18)*IF(ABS(((1+$A300)/(1+'Table G'!$B$18))-1)&lt;0.000000001,5,(1-((1+$A300)/(1+'Table G'!$B$18))^5)/(1-((1+$A300)/(1+'Table G'!$B$18))))+('Table G'!$B$14+'Table G'!$B$15)*(1+$A300)^(5-1)*(1+'Table G'!$B$25)/(('Table G'!$B$18-'Table G'!$B$25)*(1+'Table G'!$B$18)^5),"")</f>
        <v>128768.66988011237</v>
      </c>
      <c r="C300" s="17">
        <f>IFERROR(('Table G'!$B$14+'Table G'!$B$15)/(1+'Table G'!$B$18)*IF(ABS(((1+$A300)/(1+'Table G'!$B$18))-1)&lt;0.000000001,10,(1-((1+$A300)/(1+'Table G'!$B$18))^10)/(1-((1+$A300)/(1+'Table G'!$B$18))))+('Table G'!$B$14+'Table G'!$B$15)*(1+$A300)^(10-1)*(1+'Table G'!$B$25)/(('Table G'!$B$18-'Table G'!$B$25)*(1+'Table G'!$B$18)^10),"")</f>
        <v>241752.78540923822</v>
      </c>
      <c r="D300" s="17">
        <f>IFERROR(('Table G'!$B$14+'Table G'!$B$15)/(1+'Table G'!$B$18)*IF(ABS(((1+$A300)/(1+'Table G'!$B$18))-1)&lt;0.000000001,5,(1-((1+$A300)/(1+'Table G'!$B$18))^5)/(1-((1+$A300)/(1+'Table G'!$B$18))))+('Table G'!$B$14+'Table G'!$B$15)*(1+$A300)^(5-1)*(1+'Table G'!$B$26)/(('Table G'!$B$18-'Table G'!$B$26)*(1+'Table G'!$B$18)^5),"")</f>
        <v>137397.32523303741</v>
      </c>
      <c r="E300" s="17">
        <f>IFERROR(('Table G'!$B$14+'Table G'!$B$15)/(1+'Table G'!$B$18)*IF(ABS(((1+$A300)/(1+'Table G'!$B$18))-1)&lt;0.000000001,10,(1-((1+$A300)/(1+'Table G'!$B$18))^10)/(1-((1+$A300)/(1+'Table G'!$B$18))))+('Table G'!$B$14+'Table G'!$B$15)*(1+$A300)^(10-1)*(1+'Table G'!$B$26)/(('Table G'!$B$18-'Table G'!$B$26)*(1+'Table G'!$B$18)^10),"")</f>
        <v>256094.02453022276</v>
      </c>
      <c r="F300" s="17">
        <f>IFERROR(('Table G'!$B$14+'Table G'!$B$15)/(1+'Table G'!$B$18)*IF(ABS(((1+$A300)/(1+'Table G'!$B$18))-1)&lt;0.000000001,5,(1-((1+$A300)/(1+'Table G'!$B$18))^5)/(1-((1+$A300)/(1+'Table G'!$B$18))))+('Table G'!$B$14+'Table G'!$B$15)*(1+$A300)^(5-1)*(1+'Table G'!$B$27)/(('Table G'!$B$18-'Table G'!$B$27)*(1+'Table G'!$B$18)^5),"")</f>
        <v>147528.06576806185</v>
      </c>
      <c r="G300" s="17">
        <f>IFERROR(('Table G'!$B$14+'Table G'!$B$15)/(1+'Table G'!$B$18)*IF(ABS(((1+$A300)/(1+'Table G'!$B$18))-1)&lt;0.000000001,10,(1-((1+$A300)/(1+'Table G'!$B$18))^10)/(1-((1+$A300)/(1+'Table G'!$B$18))))+('Table G'!$B$14+'Table G'!$B$15)*(1+$A300)^(10-1)*(1+'Table G'!$B$27)/(('Table G'!$B$18-'Table G'!$B$27)*(1+'Table G'!$B$18)^10),"")</f>
        <v>272931.80128024501</v>
      </c>
    </row>
    <row r="301" spans="1:7" x14ac:dyDescent="0.2">
      <c r="A301" s="8">
        <f>-0.1+297*$B$2</f>
        <v>0.19699999999999998</v>
      </c>
      <c r="B301" s="17">
        <f>IFERROR(('Table G'!$B$14+'Table G'!$B$15)/(1+'Table G'!$B$18)*IF(ABS(((1+$A301)/(1+'Table G'!$B$18))-1)&lt;0.000000001,5,(1-((1+$A301)/(1+'Table G'!$B$18))^5)/(1-((1+$A301)/(1+'Table G'!$B$18))))+('Table G'!$B$14+'Table G'!$B$15)*(1+$A301)^(5-1)*(1+'Table G'!$B$25)/(('Table G'!$B$18-'Table G'!$B$25)*(1+'Table G'!$B$18)^5),"")</f>
        <v>129158.11815466743</v>
      </c>
      <c r="C301" s="17">
        <f>IFERROR(('Table G'!$B$14+'Table G'!$B$15)/(1+'Table G'!$B$18)*IF(ABS(((1+$A301)/(1+'Table G'!$B$18))-1)&lt;0.000000001,10,(1-((1+$A301)/(1+'Table G'!$B$18))^10)/(1-((1+$A301)/(1+'Table G'!$B$18))))+('Table G'!$B$14+'Table G'!$B$15)*(1+$A301)^(10-1)*(1+'Table G'!$B$25)/(('Table G'!$B$18-'Table G'!$B$25)*(1+'Table G'!$B$18)^10),"")</f>
        <v>243350.11891243345</v>
      </c>
      <c r="D301" s="17">
        <f>IFERROR(('Table G'!$B$14+'Table G'!$B$15)/(1+'Table G'!$B$18)*IF(ABS(((1+$A301)/(1+'Table G'!$B$18))-1)&lt;0.000000001,5,(1-((1+$A301)/(1+'Table G'!$B$18))^5)/(1-((1+$A301)/(1+'Table G'!$B$18))))+('Table G'!$B$14+'Table G'!$B$15)*(1+$A301)^(5-1)*(1+'Table G'!$B$26)/(('Table G'!$B$18-'Table G'!$B$26)*(1+'Table G'!$B$18)^5),"")</f>
        <v>137815.66810049757</v>
      </c>
      <c r="E301" s="17">
        <f>IFERROR(('Table G'!$B$14+'Table G'!$B$15)/(1+'Table G'!$B$18)*IF(ABS(((1+$A301)/(1+'Table G'!$B$18))-1)&lt;0.000000001,10,(1-((1+$A301)/(1+'Table G'!$B$18))^10)/(1-((1+$A301)/(1+'Table G'!$B$18))))+('Table G'!$B$14+'Table G'!$B$15)*(1+$A301)^(10-1)*(1+'Table G'!$B$26)/(('Table G'!$B$18-'Table G'!$B$26)*(1+'Table G'!$B$18)^10),"")</f>
        <v>257799.63869513816</v>
      </c>
      <c r="F301" s="17">
        <f>IFERROR(('Table G'!$B$14+'Table G'!$B$15)/(1+'Table G'!$B$18)*IF(ABS(((1+$A301)/(1+'Table G'!$B$18))-1)&lt;0.000000001,5,(1-((1+$A301)/(1+'Table G'!$B$18))^5)/(1-((1+$A301)/(1+'Table G'!$B$18))))+('Table G'!$B$14+'Table G'!$B$15)*(1+$A301)^(5-1)*(1+'Table G'!$B$27)/(('Table G'!$B$18-'Table G'!$B$27)*(1+'Table G'!$B$18)^5),"")</f>
        <v>147980.3332288235</v>
      </c>
      <c r="G301" s="17">
        <f>IFERROR(('Table G'!$B$14+'Table G'!$B$15)/(1+'Table G'!$B$18)*IF(ABS(((1+$A301)/(1+'Table G'!$B$18))-1)&lt;0.000000001,10,(1-((1+$A301)/(1+'Table G'!$B$18))^10)/(1-((1+$A301)/(1+'Table G'!$B$18))))+('Table G'!$B$14+'Table G'!$B$15)*(1+$A301)^(10-1)*(1+'Table G'!$B$27)/(('Table G'!$B$18-'Table G'!$B$27)*(1+'Table G'!$B$18)^10),"")</f>
        <v>274764.54571563489</v>
      </c>
    </row>
    <row r="302" spans="1:7" x14ac:dyDescent="0.2">
      <c r="A302" s="8">
        <f>-0.1+298*$B$2</f>
        <v>0.19799999999999998</v>
      </c>
      <c r="B302" s="17">
        <f>IFERROR(('Table G'!$B$14+'Table G'!$B$15)/(1+'Table G'!$B$18)*IF(ABS(((1+$A302)/(1+'Table G'!$B$18))-1)&lt;0.000000001,5,(1-((1+$A302)/(1+'Table G'!$B$18))^5)/(1-((1+$A302)/(1+'Table G'!$B$18))))+('Table G'!$B$14+'Table G'!$B$15)*(1+$A302)^(5-1)*(1+'Table G'!$B$25)/(('Table G'!$B$18-'Table G'!$B$25)*(1+'Table G'!$B$18)^5),"")</f>
        <v>129548.50516610887</v>
      </c>
      <c r="C302" s="17">
        <f>IFERROR(('Table G'!$B$14+'Table G'!$B$15)/(1+'Table G'!$B$18)*IF(ABS(((1+$A302)/(1+'Table G'!$B$18))-1)&lt;0.000000001,10,(1-((1+$A302)/(1+'Table G'!$B$18))^10)/(1-((1+$A302)/(1+'Table G'!$B$18))))+('Table G'!$B$14+'Table G'!$B$15)*(1+$A302)^(10-1)*(1+'Table G'!$B$25)/(('Table G'!$B$18-'Table G'!$B$25)*(1+'Table G'!$B$18)^10),"")</f>
        <v>244957.55462841794</v>
      </c>
      <c r="D302" s="17">
        <f>IFERROR(('Table G'!$B$14+'Table G'!$B$15)/(1+'Table G'!$B$18)*IF(ABS(((1+$A302)/(1+'Table G'!$B$18))-1)&lt;0.000000001,5,(1-((1+$A302)/(1+'Table G'!$B$18))^5)/(1-((1+$A302)/(1+'Table G'!$B$18))))+('Table G'!$B$14+'Table G'!$B$15)*(1+$A302)^(5-1)*(1+'Table G'!$B$26)/(('Table G'!$B$18-'Table G'!$B$26)*(1+'Table G'!$B$18)^5),"")</f>
        <v>138235.02221319056</v>
      </c>
      <c r="E302" s="17">
        <f>IFERROR(('Table G'!$B$14+'Table G'!$B$15)/(1+'Table G'!$B$18)*IF(ABS(((1+$A302)/(1+'Table G'!$B$18))-1)&lt;0.000000001,10,(1-((1+$A302)/(1+'Table G'!$B$18))^10)/(1-((1+$A302)/(1+'Table G'!$B$18))))+('Table G'!$B$14+'Table G'!$B$15)*(1+$A302)^(10-1)*(1+'Table G'!$B$26)/(('Table G'!$B$18-'Table G'!$B$26)*(1+'Table G'!$B$18)^10),"")</f>
        <v>259516.08117657737</v>
      </c>
      <c r="F302" s="17">
        <f>IFERROR(('Table G'!$B$14+'Table G'!$B$15)/(1+'Table G'!$B$18)*IF(ABS(((1+$A302)/(1+'Table G'!$B$18))-1)&lt;0.000000001,5,(1-((1+$A302)/(1+'Table G'!$B$18))^5)/(1-((1+$A302)/(1+'Table G'!$B$18))))+('Table G'!$B$14+'Table G'!$B$15)*(1+$A302)^(5-1)*(1+'Table G'!$B$27)/(('Table G'!$B$18-'Table G'!$B$27)*(1+'Table G'!$B$18)^5),"")</f>
        <v>148433.69706549184</v>
      </c>
      <c r="G302" s="17">
        <f>IFERROR(('Table G'!$B$14+'Table G'!$B$15)/(1+'Table G'!$B$18)*IF(ABS(((1+$A302)/(1+'Table G'!$B$18))-1)&lt;0.000000001,10,(1-((1+$A302)/(1+'Table G'!$B$18))^10)/(1-((1+$A302)/(1+'Table G'!$B$18))))+('Table G'!$B$14+'Table G'!$B$15)*(1+$A302)^(10-1)*(1+'Table G'!$B$27)/(('Table G'!$B$18-'Table G'!$B$27)*(1+'Table G'!$B$18)^10),"")</f>
        <v>276608.97097216657</v>
      </c>
    </row>
    <row r="303" spans="1:7" x14ac:dyDescent="0.2">
      <c r="A303" s="8">
        <f>-0.1+299*$B$2</f>
        <v>0.19899999999999998</v>
      </c>
      <c r="B303" s="17">
        <f>IFERROR(('Table G'!$B$14+'Table G'!$B$15)/(1+'Table G'!$B$18)*IF(ABS(((1+$A303)/(1+'Table G'!$B$18))-1)&lt;0.000000001,5,(1-((1+$A303)/(1+'Table G'!$B$18))^5)/(1-((1+$A303)/(1+'Table G'!$B$18))))+('Table G'!$B$14+'Table G'!$B$15)*(1+$A303)^(5-1)*(1+'Table G'!$B$25)/(('Table G'!$B$18-'Table G'!$B$25)*(1+'Table G'!$B$18)^5),"")</f>
        <v>129939.83244941337</v>
      </c>
      <c r="C303" s="17">
        <f>IFERROR(('Table G'!$B$14+'Table G'!$B$15)/(1+'Table G'!$B$18)*IF(ABS(((1+$A303)/(1+'Table G'!$B$18))-1)&lt;0.000000001,10,(1-((1+$A303)/(1+'Table G'!$B$18))^10)/(1-((1+$A303)/(1+'Table G'!$B$18))))+('Table G'!$B$14+'Table G'!$B$15)*(1+$A303)^(10-1)*(1+'Table G'!$B$25)/(('Table G'!$B$18-'Table G'!$B$25)*(1+'Table G'!$B$18)^10),"")</f>
        <v>246575.14980064795</v>
      </c>
      <c r="D303" s="17">
        <f>IFERROR(('Table G'!$B$14+'Table G'!$B$15)/(1+'Table G'!$B$18)*IF(ABS(((1+$A303)/(1+'Table G'!$B$18))-1)&lt;0.000000001,5,(1-((1+$A303)/(1+'Table G'!$B$18))^5)/(1-((1+$A303)/(1+'Table G'!$B$18))))+('Table G'!$B$14+'Table G'!$B$15)*(1+$A303)^(5-1)*(1+'Table G'!$B$26)/(('Table G'!$B$18-'Table G'!$B$26)*(1+'Table G'!$B$18)^5),"")</f>
        <v>138655.38922729387</v>
      </c>
      <c r="E303" s="17">
        <f>IFERROR(('Table G'!$B$14+'Table G'!$B$15)/(1+'Table G'!$B$18)*IF(ABS(((1+$A303)/(1+'Table G'!$B$18))-1)&lt;0.000000001,10,(1-((1+$A303)/(1+'Table G'!$B$18))^10)/(1-((1+$A303)/(1+'Table G'!$B$18))))+('Table G'!$B$14+'Table G'!$B$15)*(1+$A303)^(10-1)*(1+'Table G'!$B$26)/(('Table G'!$B$18-'Table G'!$B$26)*(1+'Table G'!$B$18)^10),"")</f>
        <v>261243.41347487125</v>
      </c>
      <c r="F303" s="17">
        <f>IFERROR(('Table G'!$B$14+'Table G'!$B$15)/(1+'Table G'!$B$18)*IF(ABS(((1+$A303)/(1+'Table G'!$B$18))-1)&lt;0.000000001,5,(1-((1+$A303)/(1+'Table G'!$B$18))^5)/(1-((1+$A303)/(1+'Table G'!$B$18))))+('Table G'!$B$14+'Table G'!$B$15)*(1+$A303)^(5-1)*(1+'Table G'!$B$27)/(('Table G'!$B$18-'Table G'!$B$27)*(1+'Table G'!$B$18)^5),"")</f>
        <v>148888.15907654387</v>
      </c>
      <c r="G303" s="17">
        <f>IFERROR(('Table G'!$B$14+'Table G'!$B$15)/(1+'Table G'!$B$18)*IF(ABS(((1+$A303)/(1+'Table G'!$B$18))-1)&lt;0.000000001,10,(1-((1+$A303)/(1+'Table G'!$B$18))^10)/(1-((1+$A303)/(1+'Table G'!$B$18))))+('Table G'!$B$14+'Table G'!$B$15)*(1+$A303)^(10-1)*(1+'Table G'!$B$27)/(('Table G'!$B$18-'Table G'!$B$27)*(1+'Table G'!$B$18)^10),"")</f>
        <v>278465.14354808675</v>
      </c>
    </row>
    <row r="304" spans="1:7" x14ac:dyDescent="0.2">
      <c r="A304" s="8">
        <f>-0.1+300*$B$2</f>
        <v>0.19999999999999998</v>
      </c>
      <c r="B304" s="17">
        <f>IFERROR(('Table G'!$B$14+'Table G'!$B$15)/(1+'Table G'!$B$18)*IF(ABS(((1+$A304)/(1+'Table G'!$B$18))-1)&lt;0.000000001,5,(1-((1+$A304)/(1+'Table G'!$B$18))^5)/(1-((1+$A304)/(1+'Table G'!$B$18))))+('Table G'!$B$14+'Table G'!$B$15)*(1+$A304)^(5-1)*(1+'Table G'!$B$25)/(('Table G'!$B$18-'Table G'!$B$25)*(1+'Table G'!$B$18)^5),"")</f>
        <v>130332.1015408216</v>
      </c>
      <c r="C304" s="17">
        <f>IFERROR(('Table G'!$B$14+'Table G'!$B$15)/(1+'Table G'!$B$18)*IF(ABS(((1+$A304)/(1+'Table G'!$B$18))-1)&lt;0.000000001,10,(1-((1+$A304)/(1+'Table G'!$B$18))^10)/(1-((1+$A304)/(1+'Table G'!$B$18))))+('Table G'!$B$14+'Table G'!$B$15)*(1+$A304)^(10-1)*(1+'Table G'!$B$25)/(('Table G'!$B$18-'Table G'!$B$25)*(1+'Table G'!$B$18)^10),"")</f>
        <v>248202.96195359368</v>
      </c>
      <c r="D304" s="17">
        <f>IFERROR(('Table G'!$B$14+'Table G'!$B$15)/(1+'Table G'!$B$18)*IF(ABS(((1+$A304)/(1+'Table G'!$B$18))-1)&lt;0.000000001,5,(1-((1+$A304)/(1+'Table G'!$B$18))^5)/(1-((1+$A304)/(1+'Table G'!$B$18))))+('Table G'!$B$14+'Table G'!$B$15)*(1+$A304)^(5-1)*(1+'Table G'!$B$26)/(('Table G'!$B$18-'Table G'!$B$26)*(1+'Table G'!$B$18)^5),"")</f>
        <v>139076.77080035003</v>
      </c>
      <c r="E304" s="17">
        <f>IFERROR(('Table G'!$B$14+'Table G'!$B$15)/(1+'Table G'!$B$18)*IF(ABS(((1+$A304)/(1+'Table G'!$B$18))-1)&lt;0.000000001,10,(1-((1+$A304)/(1+'Table G'!$B$18))^10)/(1-((1+$A304)/(1+'Table G'!$B$18))))+('Table G'!$B$14+'Table G'!$B$15)*(1+$A304)^(10-1)*(1+'Table G'!$B$26)/(('Table G'!$B$18-'Table G'!$B$26)*(1+'Table G'!$B$18)^10),"")</f>
        <v>262981.69739273807</v>
      </c>
      <c r="F304" s="17">
        <f>IFERROR(('Table G'!$B$14+'Table G'!$B$15)/(1+'Table G'!$B$18)*IF(ABS(((1+$A304)/(1+'Table G'!$B$18))-1)&lt;0.000000001,5,(1-((1+$A304)/(1+'Table G'!$B$18))^5)/(1-((1+$A304)/(1+'Table G'!$B$18))))+('Table G'!$B$14+'Table G'!$B$15)*(1+$A304)^(5-1)*(1+'Table G'!$B$27)/(('Table G'!$B$18-'Table G'!$B$27)*(1+'Table G'!$B$18)^5),"")</f>
        <v>149343.72106194039</v>
      </c>
      <c r="G304" s="17">
        <f>IFERROR(('Table G'!$B$14+'Table G'!$B$15)/(1+'Table G'!$B$18)*IF(ABS(((1+$A304)/(1+'Table G'!$B$18))-1)&lt;0.000000001,10,(1-((1+$A304)/(1+'Table G'!$B$18))^10)/(1-((1+$A304)/(1+'Table G'!$B$18))))+('Table G'!$B$14+'Table G'!$B$15)*(1+$A304)^(10-1)*(1+'Table G'!$B$27)/(('Table G'!$B$18-'Table G'!$B$27)*(1+'Table G'!$B$18)^10),"")</f>
        <v>280333.13026912347</v>
      </c>
    </row>
    <row r="305" spans="1:7" x14ac:dyDescent="0.2">
      <c r="A305" s="8">
        <f>-0.1+301*$B$2</f>
        <v>0.20099999999999998</v>
      </c>
      <c r="B305" s="17">
        <f>IFERROR(('Table G'!$B$14+'Table G'!$B$15)/(1+'Table G'!$B$18)*IF(ABS(((1+$A305)/(1+'Table G'!$B$18))-1)&lt;0.000000001,5,(1-((1+$A305)/(1+'Table G'!$B$18))^5)/(1-((1+$A305)/(1+'Table G'!$B$18))))+('Table G'!$B$14+'Table G'!$B$15)*(1+$A305)^(5-1)*(1+'Table G'!$B$25)/(('Table G'!$B$18-'Table G'!$B$25)*(1+'Table G'!$B$18)^5),"")</f>
        <v>130725.31397783852</v>
      </c>
      <c r="C305" s="17">
        <f>IFERROR(('Table G'!$B$14+'Table G'!$B$15)/(1+'Table G'!$B$18)*IF(ABS(((1+$A305)/(1+'Table G'!$B$18))-1)&lt;0.000000001,10,(1-((1+$A305)/(1+'Table G'!$B$18))^10)/(1-((1+$A305)/(1+'Table G'!$B$18))))+('Table G'!$B$14+'Table G'!$B$15)*(1+$A305)^(10-1)*(1+'Table G'!$B$25)/(('Table G'!$B$18-'Table G'!$B$25)*(1+'Table G'!$B$18)^10),"")</f>
        <v>249841.04889389715</v>
      </c>
      <c r="D305" s="17">
        <f>IFERROR(('Table G'!$B$14+'Table G'!$B$15)/(1+'Table G'!$B$18)*IF(ABS(((1+$A305)/(1+'Table G'!$B$18))-1)&lt;0.000000001,5,(1-((1+$A305)/(1+'Table G'!$B$18))^5)/(1-((1+$A305)/(1+'Table G'!$B$18))))+('Table G'!$B$14+'Table G'!$B$15)*(1+$A305)^(5-1)*(1+'Table G'!$B$26)/(('Table G'!$B$18-'Table G'!$B$26)*(1+'Table G'!$B$18)^5),"")</f>
        <v>139499.16859126714</v>
      </c>
      <c r="E305" s="17">
        <f>IFERROR(('Table G'!$B$14+'Table G'!$B$15)/(1+'Table G'!$B$18)*IF(ABS(((1+$A305)/(1+'Table G'!$B$18))-1)&lt;0.000000001,10,(1-((1+$A305)/(1+'Table G'!$B$18))^10)/(1-((1+$A305)/(1+'Table G'!$B$18))))+('Table G'!$B$14+'Table G'!$B$15)*(1+$A305)^(10-1)*(1+'Table G'!$B$26)/(('Table G'!$B$18-'Table G'!$B$26)*(1+'Table G'!$B$18)^10),"")</f>
        <v>264730.9950365306</v>
      </c>
      <c r="F305" s="17">
        <f>IFERROR(('Table G'!$B$14+'Table G'!$B$15)/(1+'Table G'!$B$18)*IF(ABS(((1+$A305)/(1+'Table G'!$B$18))-1)&lt;0.000000001,5,(1-((1+$A305)/(1+'Table G'!$B$18))^5)/(1-((1+$A305)/(1+'Table G'!$B$18))))+('Table G'!$B$14+'Table G'!$B$15)*(1+$A305)^(5-1)*(1+'Table G'!$B$27)/(('Table G'!$B$18-'Table G'!$B$27)*(1+'Table G'!$B$18)^5),"")</f>
        <v>149800.38482312657</v>
      </c>
      <c r="G305" s="17">
        <f>IFERROR(('Table G'!$B$14+'Table G'!$B$15)/(1+'Table G'!$B$18)*IF(ABS(((1+$A305)/(1+'Table G'!$B$18))-1)&lt;0.000000001,10,(1-((1+$A305)/(1+'Table G'!$B$18))^10)/(1-((1+$A305)/(1+'Table G'!$B$18))))+('Table G'!$B$14+'Table G'!$B$15)*(1+$A305)^(10-1)*(1+'Table G'!$B$27)/(('Table G'!$B$18-'Table G'!$B$27)*(1+'Table G'!$B$18)^10),"")</f>
        <v>282212.99828983855</v>
      </c>
    </row>
    <row r="306" spans="1:7" x14ac:dyDescent="0.2">
      <c r="A306" s="8">
        <f>-0.1+302*$B$2</f>
        <v>0.20199999999999999</v>
      </c>
      <c r="B306" s="17">
        <f>IFERROR(('Table G'!$B$14+'Table G'!$B$15)/(1+'Table G'!$B$18)*IF(ABS(((1+$A306)/(1+'Table G'!$B$18))-1)&lt;0.000000001,5,(1-((1+$A306)/(1+'Table G'!$B$18))^5)/(1-((1+$A306)/(1+'Table G'!$B$18))))+('Table G'!$B$14+'Table G'!$B$15)*(1+$A306)^(5-1)*(1+'Table G'!$B$25)/(('Table G'!$B$18-'Table G'!$B$25)*(1+'Table G'!$B$18)^5),"")</f>
        <v>131119.47129923262</v>
      </c>
      <c r="C306" s="17">
        <f>IFERROR(('Table G'!$B$14+'Table G'!$B$15)/(1+'Table G'!$B$18)*IF(ABS(((1+$A306)/(1+'Table G'!$B$18))-1)&lt;0.000000001,10,(1-((1+$A306)/(1+'Table G'!$B$18))^10)/(1-((1+$A306)/(1+'Table G'!$B$18))))+('Table G'!$B$14+'Table G'!$B$15)*(1+$A306)^(10-1)*(1+'Table G'!$B$25)/(('Table G'!$B$18-'Table G'!$B$25)*(1+'Table G'!$B$18)^10),"")</f>
        <v>251489.46871152928</v>
      </c>
      <c r="D306" s="17">
        <f>IFERROR(('Table G'!$B$14+'Table G'!$B$15)/(1+'Table G'!$B$18)*IF(ABS(((1+$A306)/(1+'Table G'!$B$18))-1)&lt;0.000000001,5,(1-((1+$A306)/(1+'Table G'!$B$18))^5)/(1-((1+$A306)/(1+'Table G'!$B$18))))+('Table G'!$B$14+'Table G'!$B$15)*(1+$A306)^(5-1)*(1+'Table G'!$B$26)/(('Table G'!$B$18-'Table G'!$B$26)*(1+'Table G'!$B$18)^5),"")</f>
        <v>139922.58426031802</v>
      </c>
      <c r="E306" s="17">
        <f>IFERROR(('Table G'!$B$14+'Table G'!$B$15)/(1+'Table G'!$B$18)*IF(ABS(((1+$A306)/(1+'Table G'!$B$18))-1)&lt;0.000000001,10,(1-((1+$A306)/(1+'Table G'!$B$18))^10)/(1-((1+$A306)/(1+'Table G'!$B$18))))+('Table G'!$B$14+'Table G'!$B$15)*(1+$A306)^(10-1)*(1+'Table G'!$B$26)/(('Table G'!$B$18-'Table G'!$B$26)*(1+'Table G'!$B$18)^10),"")</f>
        <v>266491.36881748296</v>
      </c>
      <c r="F306" s="17">
        <f>IFERROR(('Table G'!$B$14+'Table G'!$B$15)/(1+'Table G'!$B$18)*IF(ABS(((1+$A306)/(1+'Table G'!$B$18))-1)&lt;0.000000001,5,(1-((1+$A306)/(1+'Table G'!$B$18))^5)/(1-((1+$A306)/(1+'Table G'!$B$18))))+('Table G'!$B$14+'Table G'!$B$15)*(1+$A306)^(5-1)*(1+'Table G'!$B$27)/(('Table G'!$B$18-'Table G'!$B$27)*(1+'Table G'!$B$18)^5),"")</f>
        <v>150258.15216303125</v>
      </c>
      <c r="G306" s="17">
        <f>IFERROR(('Table G'!$B$14+'Table G'!$B$15)/(1+'Table G'!$B$18)*IF(ABS(((1+$A306)/(1+'Table G'!$B$18))-1)&lt;0.000000001,10,(1-((1+$A306)/(1+'Table G'!$B$18))^10)/(1-((1+$A306)/(1+'Table G'!$B$18))))+('Table G'!$B$14+'Table G'!$B$15)*(1+$A306)^(10-1)*(1+'Table G'!$B$27)/(('Table G'!$B$18-'Table G'!$B$27)*(1+'Table G'!$B$18)^10),"")</f>
        <v>284104.81509497884</v>
      </c>
    </row>
    <row r="307" spans="1:7" x14ac:dyDescent="0.2">
      <c r="A307" s="8">
        <f>-0.1+303*$B$2</f>
        <v>0.20299999999999999</v>
      </c>
      <c r="B307" s="17">
        <f>IFERROR(('Table G'!$B$14+'Table G'!$B$15)/(1+'Table G'!$B$18)*IF(ABS(((1+$A307)/(1+'Table G'!$B$18))-1)&lt;0.000000001,5,(1-((1+$A307)/(1+'Table G'!$B$18))^5)/(1-((1+$A307)/(1+'Table G'!$B$18))))+('Table G'!$B$14+'Table G'!$B$15)*(1+$A307)^(5-1)*(1+'Table G'!$B$25)/(('Table G'!$B$18-'Table G'!$B$25)*(1+'Table G'!$B$18)^5),"")</f>
        <v>131514.57504503691</v>
      </c>
      <c r="C307" s="17">
        <f>IFERROR(('Table G'!$B$14+'Table G'!$B$15)/(1+'Table G'!$B$18)*IF(ABS(((1+$A307)/(1+'Table G'!$B$18))-1)&lt;0.000000001,10,(1-((1+$A307)/(1+'Table G'!$B$18))^10)/(1-((1+$A307)/(1+'Table G'!$B$18))))+('Table G'!$B$14+'Table G'!$B$15)*(1+$A307)^(10-1)*(1+'Table G'!$B$25)/(('Table G'!$B$18-'Table G'!$B$25)*(1+'Table G'!$B$18)^10),"")</f>
        <v>253148.27978095732</v>
      </c>
      <c r="D307" s="17">
        <f>IFERROR(('Table G'!$B$14+'Table G'!$B$15)/(1+'Table G'!$B$18)*IF(ABS(((1+$A307)/(1+'Table G'!$B$18))-1)&lt;0.000000001,5,(1-((1+$A307)/(1+'Table G'!$B$18))^5)/(1-((1+$A307)/(1+'Table G'!$B$18))))+('Table G'!$B$14+'Table G'!$B$15)*(1+$A307)^(5-1)*(1+'Table G'!$B$26)/(('Table G'!$B$18-'Table G'!$B$26)*(1+'Table G'!$B$18)^5),"")</f>
        <v>140347.01946914126</v>
      </c>
      <c r="E307" s="17">
        <f>IFERROR(('Table G'!$B$14+'Table G'!$B$15)/(1+'Table G'!$B$18)*IF(ABS(((1+$A307)/(1+'Table G'!$B$18))-1)&lt;0.000000001,10,(1-((1+$A307)/(1+'Table G'!$B$18))^10)/(1-((1+$A307)/(1+'Table G'!$B$18))))+('Table G'!$B$14+'Table G'!$B$15)*(1+$A307)^(10-1)*(1+'Table G'!$B$26)/(('Table G'!$B$18-'Table G'!$B$26)*(1+'Table G'!$B$18)^10),"")</f>
        <v>268262.88145296782</v>
      </c>
      <c r="F307" s="17">
        <f>IFERROR(('Table G'!$B$14+'Table G'!$B$15)/(1+'Table G'!$B$18)*IF(ABS(((1+$A307)/(1+'Table G'!$B$18))-1)&lt;0.000000001,5,(1-((1+$A307)/(1+'Table G'!$B$18))^5)/(1-((1+$A307)/(1+'Table G'!$B$18))))+('Table G'!$B$14+'Table G'!$B$15)*(1+$A307)^(5-1)*(1+'Table G'!$B$27)/(('Table G'!$B$18-'Table G'!$B$27)*(1+'Table G'!$B$18)^5),"")</f>
        <v>150717.02488606778</v>
      </c>
      <c r="G307" s="17">
        <f>IFERROR(('Table G'!$B$14+'Table G'!$B$15)/(1+'Table G'!$B$18)*IF(ABS(((1+$A307)/(1+'Table G'!$B$18))-1)&lt;0.000000001,10,(1-((1+$A307)/(1+'Table G'!$B$18))^10)/(1-((1+$A307)/(1+'Table G'!$B$18))))+('Table G'!$B$14+'Table G'!$B$15)*(1+$A307)^(10-1)*(1+'Table G'!$B$27)/(('Table G'!$B$18-'Table G'!$B$27)*(1+'Table G'!$B$18)^10),"")</f>
        <v>286008.64850084018</v>
      </c>
    </row>
    <row r="308" spans="1:7" x14ac:dyDescent="0.2">
      <c r="A308" s="8">
        <f>-0.1+304*$B$2</f>
        <v>0.20399999999999999</v>
      </c>
      <c r="B308" s="17">
        <f>IFERROR(('Table G'!$B$14+'Table G'!$B$15)/(1+'Table G'!$B$18)*IF(ABS(((1+$A308)/(1+'Table G'!$B$18))-1)&lt;0.000000001,5,(1-((1+$A308)/(1+'Table G'!$B$18))^5)/(1-((1+$A308)/(1+'Table G'!$B$18))))+('Table G'!$B$14+'Table G'!$B$15)*(1+$A308)^(5-1)*(1+'Table G'!$B$25)/(('Table G'!$B$18-'Table G'!$B$25)*(1+'Table G'!$B$18)^5),"")</f>
        <v>131910.62675654801</v>
      </c>
      <c r="C308" s="17">
        <f>IFERROR(('Table G'!$B$14+'Table G'!$B$15)/(1+'Table G'!$B$18)*IF(ABS(((1+$A308)/(1+'Table G'!$B$18))-1)&lt;0.000000001,10,(1-((1+$A308)/(1+'Table G'!$B$18))^10)/(1-((1+$A308)/(1+'Table G'!$B$18))))+('Table G'!$B$14+'Table G'!$B$15)*(1+$A308)^(10-1)*(1+'Table G'!$B$25)/(('Table G'!$B$18-'Table G'!$B$25)*(1+'Table G'!$B$18)^10),"")</f>
        <v>254817.54076230864</v>
      </c>
      <c r="D308" s="17">
        <f>IFERROR(('Table G'!$B$14+'Table G'!$B$15)/(1+'Table G'!$B$18)*IF(ABS(((1+$A308)/(1+'Table G'!$B$18))-1)&lt;0.000000001,5,(1-((1+$A308)/(1+'Table G'!$B$18))^5)/(1-((1+$A308)/(1+'Table G'!$B$18))))+('Table G'!$B$14+'Table G'!$B$15)*(1+$A308)^(5-1)*(1+'Table G'!$B$26)/(('Table G'!$B$18-'Table G'!$B$26)*(1+'Table G'!$B$18)^5),"")</f>
        <v>140772.47588074024</v>
      </c>
      <c r="E308" s="17">
        <f>IFERROR(('Table G'!$B$14+'Table G'!$B$15)/(1+'Table G'!$B$18)*IF(ABS(((1+$A308)/(1+'Table G'!$B$18))-1)&lt;0.000000001,10,(1-((1+$A308)/(1+'Table G'!$B$18))^10)/(1-((1+$A308)/(1+'Table G'!$B$18))))+('Table G'!$B$14+'Table G'!$B$15)*(1+$A308)^(10-1)*(1+'Table G'!$B$26)/(('Table G'!$B$18-'Table G'!$B$26)*(1+'Table G'!$B$18)^10),"")</f>
        <v>270045.59596775053</v>
      </c>
      <c r="F308" s="17">
        <f>IFERROR(('Table G'!$B$14+'Table G'!$B$15)/(1+'Table G'!$B$18)*IF(ABS(((1+$A308)/(1+'Table G'!$B$18))-1)&lt;0.000000001,5,(1-((1+$A308)/(1+'Table G'!$B$18))^5)/(1-((1+$A308)/(1+'Table G'!$B$18))))+('Table G'!$B$14+'Table G'!$B$15)*(1+$A308)^(5-1)*(1+'Table G'!$B$27)/(('Table G'!$B$18-'Table G'!$B$27)*(1+'Table G'!$B$18)^5),"")</f>
        <v>151177.0047981331</v>
      </c>
      <c r="G308" s="17">
        <f>IFERROR(('Table G'!$B$14+'Table G'!$B$15)/(1+'Table G'!$B$18)*IF(ABS(((1+$A308)/(1+'Table G'!$B$18))-1)&lt;0.000000001,10,(1-((1+$A308)/(1+'Table G'!$B$18))^10)/(1-((1+$A308)/(1+'Table G'!$B$18))))+('Table G'!$B$14+'Table G'!$B$15)*(1+$A308)^(10-1)*(1+'Table G'!$B$27)/(('Table G'!$B$18-'Table G'!$B$27)*(1+'Table G'!$B$18)^10),"")</f>
        <v>287924.56665662653</v>
      </c>
    </row>
    <row r="309" spans="1:7" x14ac:dyDescent="0.2">
      <c r="A309" s="8">
        <f>-0.1+305*$B$2</f>
        <v>0.20499999999999999</v>
      </c>
      <c r="B309" s="17">
        <f>IFERROR(('Table G'!$B$14+'Table G'!$B$15)/(1+'Table G'!$B$18)*IF(ABS(((1+$A309)/(1+'Table G'!$B$18))-1)&lt;0.000000001,5,(1-((1+$A309)/(1+'Table G'!$B$18))^5)/(1-((1+$A309)/(1+'Table G'!$B$18))))+('Table G'!$B$14+'Table G'!$B$15)*(1+$A309)^(5-1)*(1+'Table G'!$B$25)/(('Table G'!$B$18-'Table G'!$B$25)*(1+'Table G'!$B$18)^5),"")</f>
        <v>132307.62797632697</v>
      </c>
      <c r="C309" s="17">
        <f>IFERROR(('Table G'!$B$14+'Table G'!$B$15)/(1+'Table G'!$B$18)*IF(ABS(((1+$A309)/(1+'Table G'!$B$18))-1)&lt;0.000000001,10,(1-((1+$A309)/(1+'Table G'!$B$18))^10)/(1-((1+$A309)/(1+'Table G'!$B$18))))+('Table G'!$B$14+'Table G'!$B$15)*(1+$A309)^(10-1)*(1+'Table G'!$B$25)/(('Table G'!$B$18-'Table G'!$B$25)*(1+'Table G'!$B$18)^10),"")</f>
        <v>256497.31060254533</v>
      </c>
      <c r="D309" s="17">
        <f>IFERROR(('Table G'!$B$14+'Table G'!$B$15)/(1+'Table G'!$B$18)*IF(ABS(((1+$A309)/(1+'Table G'!$B$18))-1)&lt;0.000000001,5,(1-((1+$A309)/(1+'Table G'!$B$18))^5)/(1-((1+$A309)/(1+'Table G'!$B$18))))+('Table G'!$B$14+'Table G'!$B$15)*(1+$A309)^(5-1)*(1+'Table G'!$B$26)/(('Table G'!$B$18-'Table G'!$B$26)*(1+'Table G'!$B$18)^5),"")</f>
        <v>141198.955159484</v>
      </c>
      <c r="E309" s="17">
        <f>IFERROR(('Table G'!$B$14+'Table G'!$B$15)/(1+'Table G'!$B$18)*IF(ABS(((1+$A309)/(1+'Table G'!$B$18))-1)&lt;0.000000001,10,(1-((1+$A309)/(1+'Table G'!$B$18))^10)/(1-((1+$A309)/(1+'Table G'!$B$18))))+('Table G'!$B$14+'Table G'!$B$15)*(1+$A309)^(10-1)*(1+'Table G'!$B$26)/(('Table G'!$B$18-'Table G'!$B$26)*(1+'Table G'!$B$18)^10),"")</f>
        <v>271839.57569525437</v>
      </c>
      <c r="F309" s="17">
        <f>IFERROR(('Table G'!$B$14+'Table G'!$B$15)/(1+'Table G'!$B$18)*IF(ABS(((1+$A309)/(1+'Table G'!$B$18))-1)&lt;0.000000001,5,(1-((1+$A309)/(1+'Table G'!$B$18))^5)/(1-((1+$A309)/(1+'Table G'!$B$18))))+('Table G'!$B$14+'Table G'!$B$15)*(1+$A309)^(5-1)*(1+'Table G'!$B$27)/(('Table G'!$B$18-'Table G'!$B$27)*(1+'Table G'!$B$18)^5),"")</f>
        <v>151638.09370660872</v>
      </c>
      <c r="G309" s="17">
        <f>IFERROR(('Table G'!$B$14+'Table G'!$B$15)/(1+'Table G'!$B$18)*IF(ABS(((1+$A309)/(1+'Table G'!$B$18))-1)&lt;0.000000001,10,(1-((1+$A309)/(1+'Table G'!$B$18))^10)/(1-((1+$A309)/(1+'Table G'!$B$18))))+('Table G'!$B$14+'Table G'!$B$15)*(1+$A309)^(10-1)*(1+'Table G'!$B$27)/(('Table G'!$B$18-'Table G'!$B$27)*(1+'Table G'!$B$18)^10),"")</f>
        <v>289852.6380458221</v>
      </c>
    </row>
    <row r="310" spans="1:7" x14ac:dyDescent="0.2">
      <c r="A310" s="8">
        <f>-0.1+306*$B$2</f>
        <v>0.20599999999999999</v>
      </c>
      <c r="B310" s="17">
        <f>IFERROR(('Table G'!$B$14+'Table G'!$B$15)/(1+'Table G'!$B$18)*IF(ABS(((1+$A310)/(1+'Table G'!$B$18))-1)&lt;0.000000001,5,(1-((1+$A310)/(1+'Table G'!$B$18))^5)/(1-((1+$A310)/(1+'Table G'!$B$18))))+('Table G'!$B$14+'Table G'!$B$15)*(1+$A310)^(5-1)*(1+'Table G'!$B$25)/(('Table G'!$B$18-'Table G'!$B$25)*(1+'Table G'!$B$18)^5),"")</f>
        <v>132705.58024819841</v>
      </c>
      <c r="C310" s="17">
        <f>IFERROR(('Table G'!$B$14+'Table G'!$B$15)/(1+'Table G'!$B$18)*IF(ABS(((1+$A310)/(1+'Table G'!$B$18))-1)&lt;0.000000001,10,(1-((1+$A310)/(1+'Table G'!$B$18))^10)/(1-((1+$A310)/(1+'Table G'!$B$18))))+('Table G'!$B$14+'Table G'!$B$15)*(1+$A310)^(10-1)*(1+'Table G'!$B$25)/(('Table G'!$B$18-'Table G'!$B$25)*(1+'Table G'!$B$18)^10),"")</f>
        <v>258187.6485366367</v>
      </c>
      <c r="D310" s="17">
        <f>IFERROR(('Table G'!$B$14+'Table G'!$B$15)/(1+'Table G'!$B$18)*IF(ABS(((1+$A310)/(1+'Table G'!$B$18))-1)&lt;0.000000001,5,(1-((1+$A310)/(1+'Table G'!$B$18))^5)/(1-((1+$A310)/(1+'Table G'!$B$18))))+('Table G'!$B$14+'Table G'!$B$15)*(1+$A310)^(5-1)*(1+'Table G'!$B$26)/(('Table G'!$B$18-'Table G'!$B$26)*(1+'Table G'!$B$18)^5),"")</f>
        <v>141626.45897110636</v>
      </c>
      <c r="E310" s="17">
        <f>IFERROR(('Table G'!$B$14+'Table G'!$B$15)/(1+'Table G'!$B$18)*IF(ABS(((1+$A310)/(1+'Table G'!$B$18))-1)&lt;0.000000001,10,(1-((1+$A310)/(1+'Table G'!$B$18))^10)/(1-((1+$A310)/(1+'Table G'!$B$18))))+('Table G'!$B$14+'Table G'!$B$15)*(1+$A310)^(10-1)*(1+'Table G'!$B$26)/(('Table G'!$B$18-'Table G'!$B$26)*(1+'Table G'!$B$18)^10),"")</f>
        <v>273644.88427882385</v>
      </c>
      <c r="F310" s="17">
        <f>IFERROR(('Table G'!$B$14+'Table G'!$B$15)/(1+'Table G'!$B$18)*IF(ABS(((1+$A310)/(1+'Table G'!$B$18))-1)&lt;0.000000001,5,(1-((1+$A310)/(1+'Table G'!$B$18))^5)/(1-((1+$A310)/(1+'Table G'!$B$18))))+('Table G'!$B$14+'Table G'!$B$15)*(1+$A310)^(5-1)*(1+'Table G'!$B$27)/(('Table G'!$B$18-'Table G'!$B$27)*(1+'Table G'!$B$18)^5),"")</f>
        <v>152100.29342035973</v>
      </c>
      <c r="G310" s="17">
        <f>IFERROR(('Table G'!$B$14+'Table G'!$B$15)/(1+'Table G'!$B$18)*IF(ABS(((1+$A310)/(1+'Table G'!$B$18))-1)&lt;0.000000001,10,(1-((1+$A310)/(1+'Table G'!$B$18))^10)/(1-((1+$A310)/(1+'Table G'!$B$18))))+('Table G'!$B$14+'Table G'!$B$15)*(1+$A310)^(10-1)*(1+'Table G'!$B$27)/(('Table G'!$B$18-'Table G'!$B$27)*(1+'Table G'!$B$18)^10),"")</f>
        <v>291792.93148756091</v>
      </c>
    </row>
    <row r="311" spans="1:7" x14ac:dyDescent="0.2">
      <c r="A311" s="8">
        <f>-0.1+307*$B$2</f>
        <v>0.20699999999999999</v>
      </c>
      <c r="B311" s="17">
        <f>IFERROR(('Table G'!$B$14+'Table G'!$B$15)/(1+'Table G'!$B$18)*IF(ABS(((1+$A311)/(1+'Table G'!$B$18))-1)&lt;0.000000001,5,(1-((1+$A311)/(1+'Table G'!$B$18))^5)/(1-((1+$A311)/(1+'Table G'!$B$18))))+('Table G'!$B$14+'Table G'!$B$15)*(1+$A311)^(5-1)*(1+'Table G'!$B$25)/(('Table G'!$B$18-'Table G'!$B$25)*(1+'Table G'!$B$18)^5),"")</f>
        <v>133104.4851172514</v>
      </c>
      <c r="C311" s="17">
        <f>IFERROR(('Table G'!$B$14+'Table G'!$B$15)/(1+'Table G'!$B$18)*IF(ABS(((1+$A311)/(1+'Table G'!$B$18))-1)&lt;0.000000001,10,(1-((1+$A311)/(1+'Table G'!$B$18))^10)/(1-((1+$A311)/(1+'Table G'!$B$18))))+('Table G'!$B$14+'Table G'!$B$15)*(1+$A311)^(10-1)*(1+'Table G'!$B$25)/(('Table G'!$B$18-'Table G'!$B$25)*(1+'Table G'!$B$18)^10),"")</f>
        <v>259888.61408874096</v>
      </c>
      <c r="D311" s="17">
        <f>IFERROR(('Table G'!$B$14+'Table G'!$B$15)/(1+'Table G'!$B$18)*IF(ABS(((1+$A311)/(1+'Table G'!$B$18))-1)&lt;0.000000001,5,(1-((1+$A311)/(1+'Table G'!$B$18))^5)/(1-((1+$A311)/(1+'Table G'!$B$18))))+('Table G'!$B$14+'Table G'!$B$15)*(1+$A311)^(5-1)*(1+'Table G'!$B$26)/(('Table G'!$B$18-'Table G'!$B$26)*(1+'Table G'!$B$18)^5),"")</f>
        <v>142054.98898270677</v>
      </c>
      <c r="E311" s="17">
        <f>IFERROR(('Table G'!$B$14+'Table G'!$B$15)/(1+'Table G'!$B$18)*IF(ABS(((1+$A311)/(1+'Table G'!$B$18))-1)&lt;0.000000001,10,(1-((1+$A311)/(1+'Table G'!$B$18))^10)/(1-((1+$A311)/(1+'Table G'!$B$18))))+('Table G'!$B$14+'Table G'!$B$15)*(1+$A311)^(10-1)*(1+'Table G'!$B$26)/(('Table G'!$B$18-'Table G'!$B$26)*(1+'Table G'!$B$18)^10),"")</f>
        <v>275461.58567299752</v>
      </c>
      <c r="F311" s="17">
        <f>IFERROR(('Table G'!$B$14+'Table G'!$B$15)/(1+'Table G'!$B$18)*IF(ABS(((1+$A311)/(1+'Table G'!$B$18))-1)&lt;0.000000001,5,(1-((1+$A311)/(1+'Table G'!$B$18))^5)/(1-((1+$A311)/(1+'Table G'!$B$18))))+('Table G'!$B$14+'Table G'!$B$15)*(1+$A311)^(5-1)*(1+'Table G'!$B$27)/(('Table G'!$B$18-'Table G'!$B$27)*(1+'Table G'!$B$18)^5),"")</f>
        <v>152563.6057497357</v>
      </c>
      <c r="G311" s="17">
        <f>IFERROR(('Table G'!$B$14+'Table G'!$B$15)/(1+'Table G'!$B$18)*IF(ABS(((1+$A311)/(1+'Table G'!$B$18))-1)&lt;0.000000001,10,(1-((1+$A311)/(1+'Table G'!$B$18))^10)/(1-((1+$A311)/(1+'Table G'!$B$18))))+('Table G'!$B$14+'Table G'!$B$15)*(1+$A311)^(10-1)*(1+'Table G'!$B$27)/(('Table G'!$B$18-'Table G'!$B$27)*(1+'Table G'!$B$18)^10),"")</f>
        <v>293745.51613800687</v>
      </c>
    </row>
    <row r="312" spans="1:7" x14ac:dyDescent="0.2">
      <c r="A312" s="8">
        <f>-0.1+308*$B$2</f>
        <v>0.20799999999999999</v>
      </c>
      <c r="B312" s="17">
        <f>IFERROR(('Table G'!$B$14+'Table G'!$B$15)/(1+'Table G'!$B$18)*IF(ABS(((1+$A312)/(1+'Table G'!$B$18))-1)&lt;0.000000001,5,(1-((1+$A312)/(1+'Table G'!$B$18))^5)/(1-((1+$A312)/(1+'Table G'!$B$18))))+('Table G'!$B$14+'Table G'!$B$15)*(1+$A312)^(5-1)*(1+'Table G'!$B$25)/(('Table G'!$B$18-'Table G'!$B$25)*(1+'Table G'!$B$18)^5),"")</f>
        <v>133504.34412983863</v>
      </c>
      <c r="C312" s="17">
        <f>IFERROR(('Table G'!$B$14+'Table G'!$B$15)/(1+'Table G'!$B$18)*IF(ABS(((1+$A312)/(1+'Table G'!$B$18))-1)&lt;0.000000001,10,(1-((1+$A312)/(1+'Table G'!$B$18))^10)/(1-((1+$A312)/(1+'Table G'!$B$18))))+('Table G'!$B$14+'Table G'!$B$15)*(1+$A312)^(10-1)*(1+'Table G'!$B$25)/(('Table G'!$B$18-'Table G'!$B$25)*(1+'Table G'!$B$18)^10),"")</f>
        <v>261600.26707338521</v>
      </c>
      <c r="D312" s="17">
        <f>IFERROR(('Table G'!$B$14+'Table G'!$B$15)/(1+'Table G'!$B$18)*IF(ABS(((1+$A312)/(1+'Table G'!$B$18))-1)&lt;0.000000001,5,(1-((1+$A312)/(1+'Table G'!$B$18))^5)/(1-((1+$A312)/(1+'Table G'!$B$18))))+('Table G'!$B$14+'Table G'!$B$15)*(1+$A312)^(5-1)*(1+'Table G'!$B$26)/(('Table G'!$B$18-'Table G'!$B$26)*(1+'Table G'!$B$18)^5),"")</f>
        <v>142484.54686274953</v>
      </c>
      <c r="E312" s="17">
        <f>IFERROR(('Table G'!$B$14+'Table G'!$B$15)/(1+'Table G'!$B$18)*IF(ABS(((1+$A312)/(1+'Table G'!$B$18))-1)&lt;0.000000001,10,(1-((1+$A312)/(1+'Table G'!$B$18))^10)/(1-((1+$A312)/(1+'Table G'!$B$18))))+('Table G'!$B$14+'Table G'!$B$15)*(1+$A312)^(10-1)*(1+'Table G'!$B$26)/(('Table G'!$B$18-'Table G'!$B$26)*(1+'Table G'!$B$18)^10),"")</f>
        <v>277289.74414477928</v>
      </c>
      <c r="F312" s="17">
        <f>IFERROR(('Table G'!$B$14+'Table G'!$B$15)/(1+'Table G'!$B$18)*IF(ABS(((1+$A312)/(1+'Table G'!$B$18))-1)&lt;0.000000001,5,(1-((1+$A312)/(1+'Table G'!$B$18))^5)/(1-((1+$A312)/(1+'Table G'!$B$18))))+('Table G'!$B$14+'Table G'!$B$15)*(1+$A312)^(5-1)*(1+'Table G'!$B$27)/(('Table G'!$B$18-'Table G'!$B$27)*(1+'Table G'!$B$18)^5),"")</f>
        <v>153028.03250656981</v>
      </c>
      <c r="G312" s="17">
        <f>IFERROR(('Table G'!$B$14+'Table G'!$B$15)/(1+'Table G'!$B$18)*IF(ABS(((1+$A312)/(1+'Table G'!$B$18))-1)&lt;0.000000001,10,(1-((1+$A312)/(1+'Table G'!$B$18))^10)/(1-((1+$A312)/(1+'Table G'!$B$18))))+('Table G'!$B$14+'Table G'!$B$15)*(1+$A312)^(10-1)*(1+'Table G'!$B$27)/(('Table G'!$B$18-'Table G'!$B$27)*(1+'Table G'!$B$18)^10),"")</f>
        <v>295710.46149173263</v>
      </c>
    </row>
    <row r="313" spans="1:7" x14ac:dyDescent="0.2">
      <c r="A313" s="8">
        <f>-0.1+309*$B$2</f>
        <v>0.20899999999999999</v>
      </c>
      <c r="B313" s="17">
        <f>IFERROR(('Table G'!$B$14+'Table G'!$B$15)/(1+'Table G'!$B$18)*IF(ABS(((1+$A313)/(1+'Table G'!$B$18))-1)&lt;0.000000001,5,(1-((1+$A313)/(1+'Table G'!$B$18))^5)/(1-((1+$A313)/(1+'Table G'!$B$18))))+('Table G'!$B$14+'Table G'!$B$15)*(1+$A313)^(5-1)*(1+'Table G'!$B$25)/(('Table G'!$B$18-'Table G'!$B$25)*(1+'Table G'!$B$18)^5),"")</f>
        <v>133905.15883357718</v>
      </c>
      <c r="C313" s="17">
        <f>IFERROR(('Table G'!$B$14+'Table G'!$B$15)/(1+'Table G'!$B$18)*IF(ABS(((1+$A313)/(1+'Table G'!$B$18))-1)&lt;0.000000001,10,(1-((1+$A313)/(1+'Table G'!$B$18))^10)/(1-((1+$A313)/(1+'Table G'!$B$18))))+('Table G'!$B$14+'Table G'!$B$15)*(1+$A313)^(10-1)*(1+'Table G'!$B$25)/(('Table G'!$B$18-'Table G'!$B$25)*(1+'Table G'!$B$18)^10),"")</f>
        <v>263322.66759665619</v>
      </c>
      <c r="D313" s="17">
        <f>IFERROR(('Table G'!$B$14+'Table G'!$B$15)/(1+'Table G'!$B$18)*IF(ABS(((1+$A313)/(1+'Table G'!$B$18))-1)&lt;0.000000001,5,(1-((1+$A313)/(1+'Table G'!$B$18))^5)/(1-((1+$A313)/(1+'Table G'!$B$18))))+('Table G'!$B$14+'Table G'!$B$15)*(1+$A313)^(5-1)*(1+'Table G'!$B$26)/(('Table G'!$B$18-'Table G'!$B$26)*(1+'Table G'!$B$18)^5),"")</f>
        <v>142915.13428106456</v>
      </c>
      <c r="E313" s="17">
        <f>IFERROR(('Table G'!$B$14+'Table G'!$B$15)/(1+'Table G'!$B$18)*IF(ABS(((1+$A313)/(1+'Table G'!$B$18))-1)&lt;0.000000001,10,(1-((1+$A313)/(1+'Table G'!$B$18))^10)/(1-((1+$A313)/(1+'Table G'!$B$18))))+('Table G'!$B$14+'Table G'!$B$15)*(1+$A313)^(10-1)*(1+'Table G'!$B$26)/(('Table G'!$B$18-'Table G'!$B$26)*(1+'Table G'!$B$18)^10),"")</f>
        <v>279129.42427492107</v>
      </c>
      <c r="F313" s="17">
        <f>IFERROR(('Table G'!$B$14+'Table G'!$B$15)/(1+'Table G'!$B$18)*IF(ABS(((1+$A313)/(1+'Table G'!$B$18))-1)&lt;0.000000001,5,(1-((1+$A313)/(1+'Table G'!$B$18))^5)/(1-((1+$A313)/(1+'Table G'!$B$18))))+('Table G'!$B$14+'Table G'!$B$15)*(1+$A313)^(5-1)*(1+'Table G'!$B$27)/(('Table G'!$B$18-'Table G'!$B$27)*(1+'Table G'!$B$18)^5),"")</f>
        <v>153493.57550417975</v>
      </c>
      <c r="G313" s="17">
        <f>IFERROR(('Table G'!$B$14+'Table G'!$B$15)/(1+'Table G'!$B$18)*IF(ABS(((1+$A313)/(1+'Table G'!$B$18))-1)&lt;0.000000001,10,(1-((1+$A313)/(1+'Table G'!$B$18))^10)/(1-((1+$A313)/(1+'Table G'!$B$18))))+('Table G'!$B$14+'Table G'!$B$15)*(1+$A313)^(10-1)*(1+'Table G'!$B$27)/(('Table G'!$B$18-'Table G'!$B$27)*(1+'Table G'!$B$18)^10),"")</f>
        <v>297687.83738310973</v>
      </c>
    </row>
    <row r="314" spans="1:7" x14ac:dyDescent="0.2">
      <c r="A314" s="8">
        <f>-0.1+310*$B$2</f>
        <v>0.21</v>
      </c>
      <c r="B314" s="17">
        <f>IFERROR(('Table G'!$B$14+'Table G'!$B$15)/(1+'Table G'!$B$18)*IF(ABS(((1+$A314)/(1+'Table G'!$B$18))-1)&lt;0.000000001,5,(1-((1+$A314)/(1+'Table G'!$B$18))^5)/(1-((1+$A314)/(1+'Table G'!$B$18))))+('Table G'!$B$14+'Table G'!$B$15)*(1+$A314)^(5-1)*(1+'Table G'!$B$25)/(('Table G'!$B$18-'Table G'!$B$25)*(1+'Table G'!$B$18)^5),"")</f>
        <v>134306.93077734782</v>
      </c>
      <c r="C314" s="17">
        <f>IFERROR(('Table G'!$B$14+'Table G'!$B$15)/(1+'Table G'!$B$18)*IF(ABS(((1+$A314)/(1+'Table G'!$B$18))-1)&lt;0.000000001,10,(1-((1+$A314)/(1+'Table G'!$B$18))^10)/(1-((1+$A314)/(1+'Table G'!$B$18))))+('Table G'!$B$14+'Table G'!$B$15)*(1+$A314)^(10-1)*(1+'Table G'!$B$25)/(('Table G'!$B$18-'Table G'!$B$25)*(1+'Table G'!$B$18)^10),"")</f>
        <v>265055.87605738675</v>
      </c>
      <c r="D314" s="17">
        <f>IFERROR(('Table G'!$B$14+'Table G'!$B$15)/(1+'Table G'!$B$18)*IF(ABS(((1+$A314)/(1+'Table G'!$B$18))-1)&lt;0.000000001,5,(1-((1+$A314)/(1+'Table G'!$B$18))^5)/(1-((1+$A314)/(1+'Table G'!$B$18))))+('Table G'!$B$14+'Table G'!$B$15)*(1+$A314)^(5-1)*(1+'Table G'!$B$26)/(('Table G'!$B$18-'Table G'!$B$26)*(1+'Table G'!$B$18)^5),"")</f>
        <v>143346.75290884671</v>
      </c>
      <c r="E314" s="17">
        <f>IFERROR(('Table G'!$B$14+'Table G'!$B$15)/(1+'Table G'!$B$18)*IF(ABS(((1+$A314)/(1+'Table G'!$B$18))-1)&lt;0.000000001,10,(1-((1+$A314)/(1+'Table G'!$B$18))^10)/(1-((1+$A314)/(1+'Table G'!$B$18))))+('Table G'!$B$14+'Table G'!$B$15)*(1+$A314)^(10-1)*(1+'Table G'!$B$26)/(('Table G'!$B$18-'Table G'!$B$26)*(1+'Table G'!$B$18)^10),"")</f>
        <v>280980.69095920143</v>
      </c>
      <c r="F314" s="17">
        <f>IFERROR(('Table G'!$B$14+'Table G'!$B$15)/(1+'Table G'!$B$18)*IF(ABS(((1+$A314)/(1+'Table G'!$B$18))-1)&lt;0.000000001,5,(1-((1+$A314)/(1+'Table G'!$B$18))^5)/(1-((1+$A314)/(1+'Table G'!$B$18))))+('Table G'!$B$14+'Table G'!$B$15)*(1+$A314)^(5-1)*(1+'Table G'!$B$27)/(('Table G'!$B$18-'Table G'!$B$27)*(1+'Table G'!$B$18)^5),"")</f>
        <v>153960.23655736697</v>
      </c>
      <c r="G314" s="17">
        <f>IFERROR(('Table G'!$B$14+'Table G'!$B$15)/(1+'Table G'!$B$18)*IF(ABS(((1+$A314)/(1+'Table G'!$B$18))-1)&lt;0.000000001,10,(1-((1+$A314)/(1+'Table G'!$B$18))^10)/(1-((1+$A314)/(1+'Table G'!$B$18))))+('Table G'!$B$14+'Table G'!$B$15)*(1+$A314)^(10-1)*(1+'Table G'!$B$27)/(('Table G'!$B$18-'Table G'!$B$27)*(1+'Table G'!$B$18)^10),"")</f>
        <v>299677.71398769517</v>
      </c>
    </row>
    <row r="315" spans="1:7" x14ac:dyDescent="0.2">
      <c r="A315" s="8">
        <f>-0.1+311*$B$2</f>
        <v>0.21099999999999999</v>
      </c>
      <c r="B315" s="17">
        <f>IFERROR(('Table G'!$B$14+'Table G'!$B$15)/(1+'Table G'!$B$18)*IF(ABS(((1+$A315)/(1+'Table G'!$B$18))-1)&lt;0.000000001,5,(1-((1+$A315)/(1+'Table G'!$B$18))^5)/(1-((1+$A315)/(1+'Table G'!$B$18))))+('Table G'!$B$14+'Table G'!$B$15)*(1+$A315)^(5-1)*(1+'Table G'!$B$25)/(('Table G'!$B$18-'Table G'!$B$25)*(1+'Table G'!$B$18)^5),"")</f>
        <v>134709.66151129565</v>
      </c>
      <c r="C315" s="17">
        <f>IFERROR(('Table G'!$B$14+'Table G'!$B$15)/(1+'Table G'!$B$18)*IF(ABS(((1+$A315)/(1+'Table G'!$B$18))-1)&lt;0.000000001,10,(1-((1+$A315)/(1+'Table G'!$B$18))^10)/(1-((1+$A315)/(1+'Table G'!$B$18))))+('Table G'!$B$14+'Table G'!$B$15)*(1+$A315)^(10-1)*(1+'Table G'!$B$25)/(('Table G'!$B$18-'Table G'!$B$25)*(1+'Table G'!$B$18)^10),"")</f>
        <v>266799.95314835454</v>
      </c>
      <c r="D315" s="17">
        <f>IFERROR(('Table G'!$B$14+'Table G'!$B$15)/(1+'Table G'!$B$18)*IF(ABS(((1+$A315)/(1+'Table G'!$B$18))-1)&lt;0.000000001,5,(1-((1+$A315)/(1+'Table G'!$B$18))^5)/(1-((1+$A315)/(1+'Table G'!$B$18))))+('Table G'!$B$14+'Table G'!$B$15)*(1+$A315)^(5-1)*(1+'Table G'!$B$26)/(('Table G'!$B$18-'Table G'!$B$26)*(1+'Table G'!$B$18)^5),"")</f>
        <v>143779.40441865625</v>
      </c>
      <c r="E315" s="17">
        <f>IFERROR(('Table G'!$B$14+'Table G'!$B$15)/(1+'Table G'!$B$18)*IF(ABS(((1+$A315)/(1+'Table G'!$B$18))-1)&lt;0.000000001,10,(1-((1+$A315)/(1+'Table G'!$B$18))^10)/(1-((1+$A315)/(1+'Table G'!$B$18))))+('Table G'!$B$14+'Table G'!$B$15)*(1+$A315)^(10-1)*(1+'Table G'!$B$26)/(('Table G'!$B$18-'Table G'!$B$26)*(1+'Table G'!$B$18)^10),"")</f>
        <v>282843.60940971645</v>
      </c>
      <c r="F315" s="17">
        <f>IFERROR(('Table G'!$B$14+'Table G'!$B$15)/(1+'Table G'!$B$18)*IF(ABS(((1+$A315)/(1+'Table G'!$B$18))-1)&lt;0.000000001,5,(1-((1+$A315)/(1+'Table G'!$B$18))^5)/(1-((1+$A315)/(1+'Table G'!$B$18))))+('Table G'!$B$14+'Table G'!$B$15)*(1+$A315)^(5-1)*(1+'Table G'!$B$27)/(('Table G'!$B$18-'Table G'!$B$27)*(1+'Table G'!$B$18)^5),"")</f>
        <v>154428.01748241723</v>
      </c>
      <c r="G315" s="17">
        <f>IFERROR(('Table G'!$B$14+'Table G'!$B$15)/(1+'Table G'!$B$18)*IF(ABS(((1+$A315)/(1+'Table G'!$B$18))-1)&lt;0.000000001,10,(1-((1+$A315)/(1+'Table G'!$B$18))^10)/(1-((1+$A315)/(1+'Table G'!$B$18))))+('Table G'!$B$14+'Table G'!$B$15)*(1+$A315)^(10-1)*(1+'Table G'!$B$27)/(('Table G'!$B$18-'Table G'!$B$27)*(1+'Table G'!$B$18)^10),"")</f>
        <v>301680.16182363121</v>
      </c>
    </row>
    <row r="316" spans="1:7" x14ac:dyDescent="0.2">
      <c r="A316" s="8">
        <f>-0.1+312*$B$2</f>
        <v>0.21199999999999999</v>
      </c>
      <c r="B316" s="17">
        <f>IFERROR(('Table G'!$B$14+'Table G'!$B$15)/(1+'Table G'!$B$18)*IF(ABS(((1+$A316)/(1+'Table G'!$B$18))-1)&lt;0.000000001,5,(1-((1+$A316)/(1+'Table G'!$B$18))^5)/(1-((1+$A316)/(1+'Table G'!$B$18))))+('Table G'!$B$14+'Table G'!$B$15)*(1+$A316)^(5-1)*(1+'Table G'!$B$25)/(('Table G'!$B$18-'Table G'!$B$25)*(1+'Table G'!$B$18)^5),"")</f>
        <v>135113.35258682954</v>
      </c>
      <c r="C316" s="17">
        <f>IFERROR(('Table G'!$B$14+'Table G'!$B$15)/(1+'Table G'!$B$18)*IF(ABS(((1+$A316)/(1+'Table G'!$B$18))-1)&lt;0.000000001,10,(1-((1+$A316)/(1+'Table G'!$B$18))^10)/(1-((1+$A316)/(1+'Table G'!$B$18))))+('Table G'!$B$14+'Table G'!$B$15)*(1+$A316)^(10-1)*(1+'Table G'!$B$25)/(('Table G'!$B$18-'Table G'!$B$25)*(1+'Table G'!$B$18)^10),"")</f>
        <v>268554.95985747699</v>
      </c>
      <c r="D316" s="17">
        <f>IFERROR(('Table G'!$B$14+'Table G'!$B$15)/(1+'Table G'!$B$18)*IF(ABS(((1+$A316)/(1+'Table G'!$B$18))-1)&lt;0.000000001,5,(1-((1+$A316)/(1+'Table G'!$B$18))^5)/(1-((1+$A316)/(1+'Table G'!$B$18))))+('Table G'!$B$14+'Table G'!$B$15)*(1+$A316)^(5-1)*(1+'Table G'!$B$26)/(('Table G'!$B$18-'Table G'!$B$26)*(1+'Table G'!$B$18)^5),"")</f>
        <v>144213.09048441853</v>
      </c>
      <c r="E316" s="17">
        <f>IFERROR(('Table G'!$B$14+'Table G'!$B$15)/(1+'Table G'!$B$18)*IF(ABS(((1+$A316)/(1+'Table G'!$B$18))-1)&lt;0.000000001,10,(1-((1+$A316)/(1+'Table G'!$B$18))^10)/(1-((1+$A316)/(1+'Table G'!$B$18))))+('Table G'!$B$14+'Table G'!$B$15)*(1+$A316)^(10-1)*(1+'Table G'!$B$26)/(('Table G'!$B$18-'Table G'!$B$26)*(1+'Table G'!$B$18)^10),"")</f>
        <v>284718.24515616766</v>
      </c>
      <c r="F316" s="17">
        <f>IFERROR(('Table G'!$B$14+'Table G'!$B$15)/(1+'Table G'!$B$18)*IF(ABS(((1+$A316)/(1+'Table G'!$B$18))-1)&lt;0.000000001,5,(1-((1+$A316)/(1+'Table G'!$B$18))^5)/(1-((1+$A316)/(1+'Table G'!$B$18))))+('Table G'!$B$14+'Table G'!$B$15)*(1+$A316)^(5-1)*(1+'Table G'!$B$27)/(('Table G'!$B$18-'Table G'!$B$27)*(1+'Table G'!$B$18)^5),"")</f>
        <v>154896.9200971</v>
      </c>
      <c r="G316" s="17">
        <f>IFERROR(('Table G'!$B$14+'Table G'!$B$15)/(1+'Table G'!$B$18)*IF(ABS(((1+$A316)/(1+'Table G'!$B$18))-1)&lt;0.000000001,10,(1-((1+$A316)/(1+'Table G'!$B$18))^10)/(1-((1+$A316)/(1+'Table G'!$B$18))))+('Table G'!$B$14+'Table G'!$B$15)*(1+$A316)^(10-1)*(1+'Table G'!$B$27)/(('Table G'!$B$18-'Table G'!$B$27)*(1+'Table G'!$B$18)^10),"")</f>
        <v>303695.25175304164</v>
      </c>
    </row>
    <row r="317" spans="1:7" x14ac:dyDescent="0.2">
      <c r="A317" s="8">
        <f>-0.1+313*$B$2</f>
        <v>0.21299999999999999</v>
      </c>
      <c r="B317" s="17">
        <f>IFERROR(('Table G'!$B$14+'Table G'!$B$15)/(1+'Table G'!$B$18)*IF(ABS(((1+$A317)/(1+'Table G'!$B$18))-1)&lt;0.000000001,5,(1-((1+$A317)/(1+'Table G'!$B$18))^5)/(1-((1+$A317)/(1+'Table G'!$B$18))))+('Table G'!$B$14+'Table G'!$B$15)*(1+$A317)^(5-1)*(1+'Table G'!$B$25)/(('Table G'!$B$18-'Table G'!$B$25)*(1+'Table G'!$B$18)^5),"")</f>
        <v>135518.00555662252</v>
      </c>
      <c r="C317" s="17">
        <f>IFERROR(('Table G'!$B$14+'Table G'!$B$15)/(1+'Table G'!$B$18)*IF(ABS(((1+$A317)/(1+'Table G'!$B$18))-1)&lt;0.000000001,10,(1-((1+$A317)/(1+'Table G'!$B$18))^10)/(1-((1+$A317)/(1+'Table G'!$B$18))))+('Table G'!$B$14+'Table G'!$B$15)*(1+$A317)^(10-1)*(1+'Table G'!$B$25)/(('Table G'!$B$18-'Table G'!$B$25)*(1+'Table G'!$B$18)^10),"")</f>
        <v>270320.95746901649</v>
      </c>
      <c r="D317" s="17">
        <f>IFERROR(('Table G'!$B$14+'Table G'!$B$15)/(1+'Table G'!$B$18)*IF(ABS(((1+$A317)/(1+'Table G'!$B$18))-1)&lt;0.000000001,5,(1-((1+$A317)/(1+'Table G'!$B$18))^5)/(1-((1+$A317)/(1+'Table G'!$B$18))))+('Table G'!$B$14+'Table G'!$B$15)*(1+$A317)^(5-1)*(1+'Table G'!$B$26)/(('Table G'!$B$18-'Table G'!$B$26)*(1+'Table G'!$B$18)^5),"")</f>
        <v>144647.81278142426</v>
      </c>
      <c r="E317" s="17">
        <f>IFERROR(('Table G'!$B$14+'Table G'!$B$15)/(1+'Table G'!$B$18)*IF(ABS(((1+$A317)/(1+'Table G'!$B$18))-1)&lt;0.000000001,10,(1-((1+$A317)/(1+'Table G'!$B$18))^10)/(1-((1+$A317)/(1+'Table G'!$B$18))))+('Table G'!$B$14+'Table G'!$B$15)*(1+$A317)^(10-1)*(1+'Table G'!$B$26)/(('Table G'!$B$18-'Table G'!$B$26)*(1+'Table G'!$B$18)^10),"")</f>
        <v>286604.66404715972</v>
      </c>
      <c r="F317" s="17">
        <f>IFERROR(('Table G'!$B$14+'Table G'!$B$15)/(1+'Table G'!$B$18)*IF(ABS(((1+$A317)/(1+'Table G'!$B$18))-1)&lt;0.000000001,5,(1-((1+$A317)/(1+'Table G'!$B$18))^5)/(1-((1+$A317)/(1+'Table G'!$B$18))))+('Table G'!$B$14+'Table G'!$B$15)*(1+$A317)^(5-1)*(1+'Table G'!$B$27)/(('Table G'!$B$18-'Table G'!$B$27)*(1+'Table G'!$B$18)^5),"")</f>
        <v>155366.94622066917</v>
      </c>
      <c r="G317" s="17">
        <f>IFERROR(('Table G'!$B$14+'Table G'!$B$15)/(1+'Table G'!$B$18)*IF(ABS(((1+$A317)/(1+'Table G'!$B$18))-1)&lt;0.000000001,10,(1-((1+$A317)/(1+'Table G'!$B$18))^10)/(1-((1+$A317)/(1+'Table G'!$B$18))))+('Table G'!$B$14+'Table G'!$B$15)*(1+$A317)^(10-1)*(1+'Table G'!$B$27)/(('Table G'!$B$18-'Table G'!$B$27)*(1+'Table G'!$B$18)^10),"")</f>
        <v>305723.05498343892</v>
      </c>
    </row>
    <row r="318" spans="1:7" x14ac:dyDescent="0.2">
      <c r="A318" s="8">
        <f>-0.1+314*$B$2</f>
        <v>0.214</v>
      </c>
      <c r="B318" s="17">
        <f>IFERROR(('Table G'!$B$14+'Table G'!$B$15)/(1+'Table G'!$B$18)*IF(ABS(((1+$A318)/(1+'Table G'!$B$18))-1)&lt;0.000000001,5,(1-((1+$A318)/(1+'Table G'!$B$18))^5)/(1-((1+$A318)/(1+'Table G'!$B$18))))+('Table G'!$B$14+'Table G'!$B$15)*(1+$A318)^(5-1)*(1+'Table G'!$B$25)/(('Table G'!$B$18-'Table G'!$B$25)*(1+'Table G'!$B$18)^5),"")</f>
        <v>135923.62197461145</v>
      </c>
      <c r="C318" s="17">
        <f>IFERROR(('Table G'!$B$14+'Table G'!$B$15)/(1+'Table G'!$B$18)*IF(ABS(((1+$A318)/(1+'Table G'!$B$18))-1)&lt;0.000000001,10,(1-((1+$A318)/(1+'Table G'!$B$18))^10)/(1-((1+$A318)/(1+'Table G'!$B$18))))+('Table G'!$B$14+'Table G'!$B$15)*(1+$A318)^(10-1)*(1+'Table G'!$B$25)/(('Table G'!$B$18-'Table G'!$B$25)*(1+'Table G'!$B$18)^10),"")</f>
        <v>272098.00756478525</v>
      </c>
      <c r="D318" s="17">
        <f>IFERROR(('Table G'!$B$14+'Table G'!$B$15)/(1+'Table G'!$B$18)*IF(ABS(((1+$A318)/(1+'Table G'!$B$18))-1)&lt;0.000000001,5,(1-((1+$A318)/(1+'Table G'!$B$18))^5)/(1-((1+$A318)/(1+'Table G'!$B$18))))+('Table G'!$B$14+'Table G'!$B$15)*(1+$A318)^(5-1)*(1+'Table G'!$B$26)/(('Table G'!$B$18-'Table G'!$B$26)*(1+'Table G'!$B$18)^5),"")</f>
        <v>145083.57298632924</v>
      </c>
      <c r="E318" s="17">
        <f>IFERROR(('Table G'!$B$14+'Table G'!$B$15)/(1+'Table G'!$B$18)*IF(ABS(((1+$A318)/(1+'Table G'!$B$18))-1)&lt;0.000000001,10,(1-((1+$A318)/(1+'Table G'!$B$18))^10)/(1-((1+$A318)/(1+'Table G'!$B$18))))+('Table G'!$B$14+'Table G'!$B$15)*(1+$A318)^(10-1)*(1+'Table G'!$B$26)/(('Table G'!$B$18-'Table G'!$B$26)*(1+'Table G'!$B$18)^10),"")</f>
        <v>288502.93225149892</v>
      </c>
      <c r="F318" s="17">
        <f>IFERROR(('Table G'!$B$14+'Table G'!$B$15)/(1+'Table G'!$B$18)*IF(ABS(((1+$A318)/(1+'Table G'!$B$18))-1)&lt;0.000000001,5,(1-((1+$A318)/(1+'Table G'!$B$18))^5)/(1-((1+$A318)/(1+'Table G'!$B$18))))+('Table G'!$B$14+'Table G'!$B$15)*(1+$A318)^(5-1)*(1+'Table G'!$B$27)/(('Table G'!$B$18-'Table G'!$B$27)*(1+'Table G'!$B$18)^5),"")</f>
        <v>155838.09767386239</v>
      </c>
      <c r="G318" s="17">
        <f>IFERROR(('Table G'!$B$14+'Table G'!$B$15)/(1+'Table G'!$B$18)*IF(ABS(((1+$A318)/(1+'Table G'!$B$18))-1)&lt;0.000000001,10,(1-((1+$A318)/(1+'Table G'!$B$18))^10)/(1-((1+$A318)/(1+'Table G'!$B$18))))+('Table G'!$B$14+'Table G'!$B$15)*(1+$A318)^(10-1)*(1+'Table G'!$B$27)/(('Table G'!$B$18-'Table G'!$B$27)*(1+'Table G'!$B$18)^10),"")</f>
        <v>307763.64306913241</v>
      </c>
    </row>
    <row r="319" spans="1:7" x14ac:dyDescent="0.2">
      <c r="A319" s="8">
        <f>-0.1+315*$B$2</f>
        <v>0.215</v>
      </c>
      <c r="B319" s="17">
        <f>IFERROR(('Table G'!$B$14+'Table G'!$B$15)/(1+'Table G'!$B$18)*IF(ABS(((1+$A319)/(1+'Table G'!$B$18))-1)&lt;0.000000001,5,(1-((1+$A319)/(1+'Table G'!$B$18))^5)/(1-((1+$A319)/(1+'Table G'!$B$18))))+('Table G'!$B$14+'Table G'!$B$15)*(1+$A319)^(5-1)*(1+'Table G'!$B$25)/(('Table G'!$B$18-'Table G'!$B$25)*(1+'Table G'!$B$18)^5),"")</f>
        <v>136330.20339599764</v>
      </c>
      <c r="C319" s="17">
        <f>IFERROR(('Table G'!$B$14+'Table G'!$B$15)/(1+'Table G'!$B$18)*IF(ABS(((1+$A319)/(1+'Table G'!$B$18))-1)&lt;0.000000001,10,(1-((1+$A319)/(1+'Table G'!$B$18))^10)/(1-((1+$A319)/(1+'Table G'!$B$18))))+('Table G'!$B$14+'Table G'!$B$15)*(1+$A319)^(10-1)*(1+'Table G'!$B$25)/(('Table G'!$B$18-'Table G'!$B$25)*(1+'Table G'!$B$18)^10),"")</f>
        <v>273886.17202535726</v>
      </c>
      <c r="D319" s="17">
        <f>IFERROR(('Table G'!$B$14+'Table G'!$B$15)/(1+'Table G'!$B$18)*IF(ABS(((1+$A319)/(1+'Table G'!$B$18))-1)&lt;0.000000001,5,(1-((1+$A319)/(1+'Table G'!$B$18))^5)/(1-((1+$A319)/(1+'Table G'!$B$18))))+('Table G'!$B$14+'Table G'!$B$15)*(1+$A319)^(5-1)*(1+'Table G'!$B$26)/(('Table G'!$B$18-'Table G'!$B$26)*(1+'Table G'!$B$18)^5),"")</f>
        <v>145520.37277715476</v>
      </c>
      <c r="E319" s="17">
        <f>IFERROR(('Table G'!$B$14+'Table G'!$B$15)/(1+'Table G'!$B$18)*IF(ABS(((1+$A319)/(1+'Table G'!$B$18))-1)&lt;0.000000001,10,(1-((1+$A319)/(1+'Table G'!$B$18))^10)/(1-((1+$A319)/(1+'Table G'!$B$18))))+('Table G'!$B$14+'Table G'!$B$15)*(1+$A319)^(10-1)*(1+'Table G'!$B$26)/(('Table G'!$B$18-'Table G'!$B$26)*(1+'Table G'!$B$18)^10),"")</f>
        <v>290413.11625949905</v>
      </c>
      <c r="F319" s="17">
        <f>IFERROR(('Table G'!$B$14+'Table G'!$B$15)/(1+'Table G'!$B$18)*IF(ABS(((1+$A319)/(1+'Table G'!$B$18))-1)&lt;0.000000001,5,(1-((1+$A319)/(1+'Table G'!$B$18))^5)/(1-((1+$A319)/(1+'Table G'!$B$18))))+('Table G'!$B$14+'Table G'!$B$15)*(1+$A319)^(5-1)*(1+'Table G'!$B$27)/(('Table G'!$B$18-'Table G'!$B$27)*(1+'Table G'!$B$18)^5),"")</f>
        <v>156310.37627890176</v>
      </c>
      <c r="G319" s="17">
        <f>IFERROR(('Table G'!$B$14+'Table G'!$B$15)/(1+'Table G'!$B$18)*IF(ABS(((1+$A319)/(1+'Table G'!$B$18))-1)&lt;0.000000001,10,(1-((1+$A319)/(1+'Table G'!$B$18))^10)/(1-((1+$A319)/(1+'Table G'!$B$18))))+('Table G'!$B$14+'Table G'!$B$15)*(1+$A319)^(10-1)*(1+'Table G'!$B$27)/(('Table G'!$B$18-'Table G'!$B$27)*(1+'Table G'!$B$18)^10),"")</f>
        <v>309817.08791264333</v>
      </c>
    </row>
    <row r="320" spans="1:7" x14ac:dyDescent="0.2">
      <c r="A320" s="8">
        <f>-0.1+316*$B$2</f>
        <v>0.216</v>
      </c>
      <c r="B320" s="17">
        <f>IFERROR(('Table G'!$B$14+'Table G'!$B$15)/(1+'Table G'!$B$18)*IF(ABS(((1+$A320)/(1+'Table G'!$B$18))-1)&lt;0.000000001,5,(1-((1+$A320)/(1+'Table G'!$B$18))^5)/(1-((1+$A320)/(1+'Table G'!$B$18))))+('Table G'!$B$14+'Table G'!$B$15)*(1+$A320)^(5-1)*(1+'Table G'!$B$25)/(('Table G'!$B$18-'Table G'!$B$25)*(1+'Table G'!$B$18)^5),"")</f>
        <v>136737.75137724591</v>
      </c>
      <c r="C320" s="17">
        <f>IFERROR(('Table G'!$B$14+'Table G'!$B$15)/(1+'Table G'!$B$18)*IF(ABS(((1+$A320)/(1+'Table G'!$B$18))-1)&lt;0.000000001,10,(1-((1+$A320)/(1+'Table G'!$B$18))^10)/(1-((1+$A320)/(1+'Table G'!$B$18))))+('Table G'!$B$14+'Table G'!$B$15)*(1+$A320)^(10-1)*(1+'Table G'!$B$25)/(('Table G'!$B$18-'Table G'!$B$25)*(1+'Table G'!$B$18)^10),"")</f>
        <v>275685.51303128019</v>
      </c>
      <c r="D320" s="17">
        <f>IFERROR(('Table G'!$B$14+'Table G'!$B$15)/(1+'Table G'!$B$18)*IF(ABS(((1+$A320)/(1+'Table G'!$B$18))-1)&lt;0.000000001,5,(1-((1+$A320)/(1+'Table G'!$B$18))^5)/(1-((1+$A320)/(1+'Table G'!$B$18))))+('Table G'!$B$14+'Table G'!$B$15)*(1+$A320)^(5-1)*(1+'Table G'!$B$26)/(('Table G'!$B$18-'Table G'!$B$26)*(1+'Table G'!$B$18)^5),"")</f>
        <v>145958.21383328707</v>
      </c>
      <c r="E320" s="17">
        <f>IFERROR(('Table G'!$B$14+'Table G'!$B$15)/(1+'Table G'!$B$18)*IF(ABS(((1+$A320)/(1+'Table G'!$B$18))-1)&lt;0.000000001,10,(1-((1+$A320)/(1+'Table G'!$B$18))^10)/(1-((1+$A320)/(1+'Table G'!$B$18))))+('Table G'!$B$14+'Table G'!$B$15)*(1+$A320)^(10-1)*(1+'Table G'!$B$26)/(('Table G'!$B$18-'Table G'!$B$26)*(1+'Table G'!$B$18)^10),"")</f>
        <v>292335.28288428637</v>
      </c>
      <c r="F320" s="17">
        <f>IFERROR(('Table G'!$B$14+'Table G'!$B$15)/(1+'Table G'!$B$18)*IF(ABS(((1+$A320)/(1+'Table G'!$B$18))-1)&lt;0.000000001,5,(1-((1+$A320)/(1+'Table G'!$B$18))^5)/(1-((1+$A320)/(1+'Table G'!$B$18))))+('Table G'!$B$14+'Table G'!$B$15)*(1+$A320)^(5-1)*(1+'Table G'!$B$27)/(('Table G'!$B$18-'Table G'!$B$27)*(1+'Table G'!$B$18)^5),"")</f>
        <v>156783.78385949304</v>
      </c>
      <c r="G320" s="17">
        <f>IFERROR(('Table G'!$B$14+'Table G'!$B$15)/(1+'Table G'!$B$18)*IF(ABS(((1+$A320)/(1+'Table G'!$B$18))-1)&lt;0.000000001,10,(1-((1+$A320)/(1+'Table G'!$B$18))^10)/(1-((1+$A320)/(1+'Table G'!$B$18))))+('Table G'!$B$14+'Table G'!$B$15)*(1+$A320)^(10-1)*(1+'Table G'!$B$27)/(('Table G'!$B$18-'Table G'!$B$27)*(1+'Table G'!$B$18)^10),"")</f>
        <v>311883.46176612098</v>
      </c>
    </row>
    <row r="321" spans="1:7" x14ac:dyDescent="0.2">
      <c r="A321" s="8">
        <f>-0.1+317*$B$2</f>
        <v>0.217</v>
      </c>
      <c r="B321" s="17">
        <f>IFERROR(('Table G'!$B$14+'Table G'!$B$15)/(1+'Table G'!$B$18)*IF(ABS(((1+$A321)/(1+'Table G'!$B$18))-1)&lt;0.000000001,5,(1-((1+$A321)/(1+'Table G'!$B$18))^5)/(1-((1+$A321)/(1+'Table G'!$B$18))))+('Table G'!$B$14+'Table G'!$B$15)*(1+$A321)^(5-1)*(1+'Table G'!$B$25)/(('Table G'!$B$18-'Table G'!$B$25)*(1+'Table G'!$B$18)^5),"")</f>
        <v>137146.26747608546</v>
      </c>
      <c r="C321" s="17">
        <f>IFERROR(('Table G'!$B$14+'Table G'!$B$15)/(1+'Table G'!$B$18)*IF(ABS(((1+$A321)/(1+'Table G'!$B$18))-1)&lt;0.000000001,10,(1-((1+$A321)/(1+'Table G'!$B$18))^10)/(1-((1+$A321)/(1+'Table G'!$B$18))))+('Table G'!$B$14+'Table G'!$B$15)*(1+$A321)^(10-1)*(1+'Table G'!$B$25)/(('Table G'!$B$18-'Table G'!$B$25)*(1+'Table G'!$B$18)^10),"")</f>
        <v>277496.09306429618</v>
      </c>
      <c r="D321" s="17">
        <f>IFERROR(('Table G'!$B$14+'Table G'!$B$15)/(1+'Table G'!$B$18)*IF(ABS(((1+$A321)/(1+'Table G'!$B$18))-1)&lt;0.000000001,5,(1-((1+$A321)/(1+'Table G'!$B$18))^5)/(1-((1+$A321)/(1+'Table G'!$B$18))))+('Table G'!$B$14+'Table G'!$B$15)*(1+$A321)^(5-1)*(1+'Table G'!$B$26)/(('Table G'!$B$18-'Table G'!$B$26)*(1+'Table G'!$B$18)^5),"")</f>
        <v>146397.09783547776</v>
      </c>
      <c r="E321" s="17">
        <f>IFERROR(('Table G'!$B$14+'Table G'!$B$15)/(1+'Table G'!$B$18)*IF(ABS(((1+$A321)/(1+'Table G'!$B$18))-1)&lt;0.000000001,10,(1-((1+$A321)/(1+'Table G'!$B$18))^10)/(1-((1+$A321)/(1+'Table G'!$B$18))))+('Table G'!$B$14+'Table G'!$B$15)*(1+$A321)^(10-1)*(1+'Table G'!$B$26)/(('Table G'!$B$18-'Table G'!$B$26)*(1+'Table G'!$B$18)^10),"")</f>
        <v>294269.4992631154</v>
      </c>
      <c r="F321" s="17">
        <f>IFERROR(('Table G'!$B$14+'Table G'!$B$15)/(1+'Table G'!$B$18)*IF(ABS(((1+$A321)/(1+'Table G'!$B$18))-1)&lt;0.000000001,5,(1-((1+$A321)/(1+'Table G'!$B$18))^5)/(1-((1+$A321)/(1+'Table G'!$B$18))))+('Table G'!$B$14+'Table G'!$B$15)*(1+$A321)^(5-1)*(1+'Table G'!$B$27)/(('Table G'!$B$18-'Table G'!$B$27)*(1+'Table G'!$B$18)^5),"")</f>
        <v>157258.32224082627</v>
      </c>
      <c r="G321" s="17">
        <f>IFERROR(('Table G'!$B$14+'Table G'!$B$15)/(1+'Table G'!$B$18)*IF(ABS(((1+$A321)/(1+'Table G'!$B$18))-1)&lt;0.000000001,10,(1-((1+$A321)/(1+'Table G'!$B$18))^10)/(1-((1+$A321)/(1+'Table G'!$B$18))))+('Table G'!$B$14+'Table G'!$B$15)*(1+$A321)^(10-1)*(1+'Table G'!$B$27)/(('Table G'!$B$18-'Table G'!$B$27)*(1+'Table G'!$B$18)^10),"")</f>
        <v>313962.83723276848</v>
      </c>
    </row>
    <row r="322" spans="1:7" x14ac:dyDescent="0.2">
      <c r="A322" s="8">
        <f>-0.1+318*$B$2</f>
        <v>0.218</v>
      </c>
      <c r="B322" s="17">
        <f>IFERROR(('Table G'!$B$14+'Table G'!$B$15)/(1+'Table G'!$B$18)*IF(ABS(((1+$A322)/(1+'Table G'!$B$18))-1)&lt;0.000000001,5,(1-((1+$A322)/(1+'Table G'!$B$18))^5)/(1-((1+$A322)/(1+'Table G'!$B$18))))+('Table G'!$B$14+'Table G'!$B$15)*(1+$A322)^(5-1)*(1+'Table G'!$B$25)/(('Table G'!$B$18-'Table G'!$B$25)*(1+'Table G'!$B$18)^5),"")</f>
        <v>137555.75325150925</v>
      </c>
      <c r="C322" s="17">
        <f>IFERROR(('Table G'!$B$14+'Table G'!$B$15)/(1+'Table G'!$B$18)*IF(ABS(((1+$A322)/(1+'Table G'!$B$18))-1)&lt;0.000000001,10,(1-((1+$A322)/(1+'Table G'!$B$18))^10)/(1-((1+$A322)/(1+'Table G'!$B$18))))+('Table G'!$B$14+'Table G'!$B$15)*(1+$A322)^(10-1)*(1+'Table G'!$B$25)/(('Table G'!$B$18-'Table G'!$B$25)*(1+'Table G'!$B$18)^10),"")</f>
        <v>279317.97490856197</v>
      </c>
      <c r="D322" s="17">
        <f>IFERROR(('Table G'!$B$14+'Table G'!$B$15)/(1+'Table G'!$B$18)*IF(ABS(((1+$A322)/(1+'Table G'!$B$18))-1)&lt;0.000000001,5,(1-((1+$A322)/(1+'Table G'!$B$18))^5)/(1-((1+$A322)/(1+'Table G'!$B$18))))+('Table G'!$B$14+'Table G'!$B$15)*(1+$A322)^(5-1)*(1+'Table G'!$B$26)/(('Table G'!$B$18-'Table G'!$B$26)*(1+'Table G'!$B$18)^5),"")</f>
        <v>146837.02646584361</v>
      </c>
      <c r="E322" s="17">
        <f>IFERROR(('Table G'!$B$14+'Table G'!$B$15)/(1+'Table G'!$B$18)*IF(ABS(((1+$A322)/(1+'Table G'!$B$18))-1)&lt;0.000000001,10,(1-((1+$A322)/(1+'Table G'!$B$18))^10)/(1-((1+$A322)/(1+'Table G'!$B$18))))+('Table G'!$B$14+'Table G'!$B$15)*(1+$A322)^(10-1)*(1+'Table G'!$B$26)/(('Table G'!$B$18-'Table G'!$B$26)*(1+'Table G'!$B$18)^10),"")</f>
        <v>296215.83285868319</v>
      </c>
      <c r="F322" s="17">
        <f>IFERROR(('Table G'!$B$14+'Table G'!$B$15)/(1+'Table G'!$B$18)*IF(ABS(((1+$A322)/(1+'Table G'!$B$18))-1)&lt;0.000000001,5,(1-((1+$A322)/(1+'Table G'!$B$18))^5)/(1-((1+$A322)/(1+'Table G'!$B$18))))+('Table G'!$B$14+'Table G'!$B$15)*(1+$A322)^(5-1)*(1+'Table G'!$B$27)/(('Table G'!$B$18-'Table G'!$B$27)*(1+'Table G'!$B$18)^5),"")</f>
        <v>157733.9932495754</v>
      </c>
      <c r="G322" s="17">
        <f>IFERROR(('Table G'!$B$14+'Table G'!$B$15)/(1+'Table G'!$B$18)*IF(ABS(((1+$A322)/(1+'Table G'!$B$18))-1)&lt;0.000000001,10,(1-((1+$A322)/(1+'Table G'!$B$18))^10)/(1-((1+$A322)/(1+'Table G'!$B$18))))+('Table G'!$B$14+'Table G'!$B$15)*(1+$A322)^(10-1)*(1+'Table G'!$B$27)/(('Table G'!$B$18-'Table G'!$B$27)*(1+'Table G'!$B$18)^10),"")</f>
        <v>316055.28726826829</v>
      </c>
    </row>
    <row r="323" spans="1:7" x14ac:dyDescent="0.2">
      <c r="A323" s="8">
        <f>-0.1+319*$B$2</f>
        <v>0.219</v>
      </c>
      <c r="B323" s="17">
        <f>IFERROR(('Table G'!$B$14+'Table G'!$B$15)/(1+'Table G'!$B$18)*IF(ABS(((1+$A323)/(1+'Table G'!$B$18))-1)&lt;0.000000001,5,(1-((1+$A323)/(1+'Table G'!$B$18))^5)/(1-((1+$A323)/(1+'Table G'!$B$18))))+('Table G'!$B$14+'Table G'!$B$15)*(1+$A323)^(5-1)*(1+'Table G'!$B$25)/(('Table G'!$B$18-'Table G'!$B$25)*(1+'Table G'!$B$18)^5),"")</f>
        <v>137966.21026377453</v>
      </c>
      <c r="C323" s="17">
        <f>IFERROR(('Table G'!$B$14+'Table G'!$B$15)/(1+'Table G'!$B$18)*IF(ABS(((1+$A323)/(1+'Table G'!$B$18))-1)&lt;0.000000001,10,(1-((1+$A323)/(1+'Table G'!$B$18))^10)/(1-((1+$A323)/(1+'Table G'!$B$18))))+('Table G'!$B$14+'Table G'!$B$15)*(1+$A323)^(10-1)*(1+'Table G'!$B$25)/(('Table G'!$B$18-'Table G'!$B$25)*(1+'Table G'!$B$18)^10),"")</f>
        <v>281151.22165187745</v>
      </c>
      <c r="D323" s="17">
        <f>IFERROR(('Table G'!$B$14+'Table G'!$B$15)/(1+'Table G'!$B$18)*IF(ABS(((1+$A323)/(1+'Table G'!$B$18))-1)&lt;0.000000001,5,(1-((1+$A323)/(1+'Table G'!$B$18))^5)/(1-((1+$A323)/(1+'Table G'!$B$18))))+('Table G'!$B$14+'Table G'!$B$15)*(1+$A323)^(5-1)*(1+'Table G'!$B$26)/(('Table G'!$B$18-'Table G'!$B$26)*(1+'Table G'!$B$18)^5),"")</f>
        <v>147278.00140786677</v>
      </c>
      <c r="E323" s="17">
        <f>IFERROR(('Table G'!$B$14+'Table G'!$B$15)/(1+'Table G'!$B$18)*IF(ABS(((1+$A323)/(1+'Table G'!$B$18))-1)&lt;0.000000001,10,(1-((1+$A323)/(1+'Table G'!$B$18))^10)/(1-((1+$A323)/(1+'Table G'!$B$18))))+('Table G'!$B$14+'Table G'!$B$15)*(1+$A323)^(10-1)*(1+'Table G'!$B$26)/(('Table G'!$B$18-'Table G'!$B$26)*(1+'Table G'!$B$18)^10),"")</f>
        <v>298174.35146045277</v>
      </c>
      <c r="F323" s="17">
        <f>IFERROR(('Table G'!$B$14+'Table G'!$B$15)/(1+'Table G'!$B$18)*IF(ABS(((1+$A323)/(1+'Table G'!$B$18))-1)&lt;0.000000001,5,(1-((1+$A323)/(1+'Table G'!$B$18))^5)/(1-((1+$A323)/(1+'Table G'!$B$18))))+('Table G'!$B$14+'Table G'!$B$15)*(1+$A323)^(5-1)*(1+'Table G'!$B$27)/(('Table G'!$B$18-'Table G'!$B$27)*(1+'Table G'!$B$18)^5),"")</f>
        <v>158210.79871389875</v>
      </c>
      <c r="G323" s="17">
        <f>IFERROR(('Table G'!$B$14+'Table G'!$B$15)/(1+'Table G'!$B$18)*IF(ABS(((1+$A323)/(1+'Table G'!$B$18))-1)&lt;0.000000001,10,(1-((1+$A323)/(1+'Table G'!$B$18))^10)/(1-((1+$A323)/(1+'Table G'!$B$18))))+('Table G'!$B$14+'Table G'!$B$15)*(1+$A323)^(10-1)*(1+'Table G'!$B$27)/(('Table G'!$B$18-'Table G'!$B$27)*(1+'Table G'!$B$18)^10),"")</f>
        <v>318160.88518221711</v>
      </c>
    </row>
    <row r="324" spans="1:7" x14ac:dyDescent="0.2">
      <c r="A324" s="8">
        <f>-0.1+320*$B$2</f>
        <v>0.22</v>
      </c>
      <c r="B324" s="17">
        <f>IFERROR(('Table G'!$B$14+'Table G'!$B$15)/(1+'Table G'!$B$18)*IF(ABS(((1+$A324)/(1+'Table G'!$B$18))-1)&lt;0.000000001,5,(1-((1+$A324)/(1+'Table G'!$B$18))^5)/(1-((1+$A324)/(1+'Table G'!$B$18))))+('Table G'!$B$14+'Table G'!$B$15)*(1+$A324)^(5-1)*(1+'Table G'!$B$25)/(('Table G'!$B$18-'Table G'!$B$25)*(1+'Table G'!$B$18)^5),"")</f>
        <v>138377.64007440221</v>
      </c>
      <c r="C324" s="17">
        <f>IFERROR(('Table G'!$B$14+'Table G'!$B$15)/(1+'Table G'!$B$18)*IF(ABS(((1+$A324)/(1+'Table G'!$B$18))-1)&lt;0.000000001,10,(1-((1+$A324)/(1+'Table G'!$B$18))^10)/(1-((1+$A324)/(1+'Table G'!$B$18))))+('Table G'!$B$14+'Table G'!$B$15)*(1+$A324)^(10-1)*(1+'Table G'!$B$25)/(('Table G'!$B$18-'Table G'!$B$25)*(1+'Table G'!$B$18)^10),"")</f>
        <v>282995.89668691263</v>
      </c>
      <c r="D324" s="17">
        <f>IFERROR(('Table G'!$B$14+'Table G'!$B$15)/(1+'Table G'!$B$18)*IF(ABS(((1+$A324)/(1+'Table G'!$B$18))-1)&lt;0.000000001,5,(1-((1+$A324)/(1+'Table G'!$B$18))^5)/(1-((1+$A324)/(1+'Table G'!$B$18))))+('Table G'!$B$14+'Table G'!$B$15)*(1+$A324)^(5-1)*(1+'Table G'!$B$26)/(('Table G'!$B$18-'Table G'!$B$26)*(1+'Table G'!$B$18)^5),"")</f>
        <v>147720.02434639435</v>
      </c>
      <c r="E324" s="17">
        <f>IFERROR(('Table G'!$B$14+'Table G'!$B$15)/(1+'Table G'!$B$18)*IF(ABS(((1+$A324)/(1+'Table G'!$B$18))-1)&lt;0.000000001,10,(1-((1+$A324)/(1+'Table G'!$B$18))^10)/(1-((1+$A324)/(1+'Table G'!$B$18))))+('Table G'!$B$14+'Table G'!$B$15)*(1+$A324)^(10-1)*(1+'Table G'!$B$26)/(('Table G'!$B$18-'Table G'!$B$26)*(1+'Table G'!$B$18)^10),"")</f>
        <v>300145.12318597548</v>
      </c>
      <c r="F324" s="17">
        <f>IFERROR(('Table G'!$B$14+'Table G'!$B$15)/(1+'Table G'!$B$18)*IF(ABS(((1+$A324)/(1+'Table G'!$B$18))-1)&lt;0.000000001,5,(1-((1+$A324)/(1+'Table G'!$B$18))^5)/(1-((1+$A324)/(1+'Table G'!$B$18))))+('Table G'!$B$14+'Table G'!$B$15)*(1+$A324)^(5-1)*(1+'Table G'!$B$27)/(('Table G'!$B$18-'Table G'!$B$27)*(1+'Table G'!$B$18)^5),"")</f>
        <v>158688.74046343821</v>
      </c>
      <c r="G324" s="17">
        <f>IFERROR(('Table G'!$B$14+'Table G'!$B$15)/(1+'Table G'!$B$18)*IF(ABS(((1+$A324)/(1+'Table G'!$B$18))-1)&lt;0.000000001,10,(1-((1+$A324)/(1+'Table G'!$B$18))^10)/(1-((1+$A324)/(1+'Table G'!$B$18))))+('Table G'!$B$14+'Table G'!$B$15)*(1+$A324)^(10-1)*(1+'Table G'!$B$27)/(('Table G'!$B$18-'Table G'!$B$27)*(1+'Table G'!$B$18)^10),"")</f>
        <v>320279.70463955932</v>
      </c>
    </row>
    <row r="325" spans="1:7" x14ac:dyDescent="0.2">
      <c r="A325" s="8">
        <f>-0.1+321*$B$2</f>
        <v>0.221</v>
      </c>
      <c r="B325" s="17">
        <f>IFERROR(('Table G'!$B$14+'Table G'!$B$15)/(1+'Table G'!$B$18)*IF(ABS(((1+$A325)/(1+'Table G'!$B$18))-1)&lt;0.000000001,5,(1-((1+$A325)/(1+'Table G'!$B$18))^5)/(1-((1+$A325)/(1+'Table G'!$B$18))))+('Table G'!$B$14+'Table G'!$B$15)*(1+$A325)^(5-1)*(1+'Table G'!$B$25)/(('Table G'!$B$18-'Table G'!$B$25)*(1+'Table G'!$B$18)^5),"")</f>
        <v>138790.04424617771</v>
      </c>
      <c r="C325" s="17">
        <f>IFERROR(('Table G'!$B$14+'Table G'!$B$15)/(1+'Table G'!$B$18)*IF(ABS(((1+$A325)/(1+'Table G'!$B$18))-1)&lt;0.000000001,10,(1-((1+$A325)/(1+'Table G'!$B$18))^10)/(1-((1+$A325)/(1+'Table G'!$B$18))))+('Table G'!$B$14+'Table G'!$B$15)*(1+$A325)^(10-1)*(1+'Table G'!$B$25)/(('Table G'!$B$18-'Table G'!$B$25)*(1+'Table G'!$B$18)^10),"")</f>
        <v>284852.06371244619</v>
      </c>
      <c r="D325" s="17">
        <f>IFERROR(('Table G'!$B$14+'Table G'!$B$15)/(1+'Table G'!$B$18)*IF(ABS(((1+$A325)/(1+'Table G'!$B$18))-1)&lt;0.000000001,5,(1-((1+$A325)/(1+'Table G'!$B$18))^5)/(1-((1+$A325)/(1+'Table G'!$B$18))))+('Table G'!$B$14+'Table G'!$B$15)*(1+$A325)^(5-1)*(1+'Table G'!$B$26)/(('Table G'!$B$18-'Table G'!$B$26)*(1+'Table G'!$B$18)^5),"")</f>
        <v>148163.09696763911</v>
      </c>
      <c r="E325" s="17">
        <f>IFERROR(('Table G'!$B$14+'Table G'!$B$15)/(1+'Table G'!$B$18)*IF(ABS(((1+$A325)/(1+'Table G'!$B$18))-1)&lt;0.000000001,10,(1-((1+$A325)/(1+'Table G'!$B$18))^10)/(1-((1+$A325)/(1+'Table G'!$B$18))))+('Table G'!$B$14+'Table G'!$B$15)*(1+$A325)^(10-1)*(1+'Table G'!$B$26)/(('Table G'!$B$18-'Table G'!$B$26)*(1+'Table G'!$B$18)^10),"")</f>
        <v>302128.21648222464</v>
      </c>
      <c r="F325" s="17">
        <f>IFERROR(('Table G'!$B$14+'Table G'!$B$15)/(1+'Table G'!$B$18)*IF(ABS(((1+$A325)/(1+'Table G'!$B$18))-1)&lt;0.000000001,5,(1-((1+$A325)/(1+'Table G'!$B$18))^5)/(1-((1+$A325)/(1+'Table G'!$B$18))))+('Table G'!$B$14+'Table G'!$B$15)*(1+$A325)^(5-1)*(1+'Table G'!$B$27)/(('Table G'!$B$18-'Table G'!$B$27)*(1+'Table G'!$B$18)^5),"")</f>
        <v>159167.82032932033</v>
      </c>
      <c r="G325" s="17">
        <f>IFERROR(('Table G'!$B$14+'Table G'!$B$15)/(1+'Table G'!$B$18)*IF(ABS(((1+$A325)/(1+'Table G'!$B$18))-1)&lt;0.000000001,10,(1-((1+$A325)/(1+'Table G'!$B$18))^10)/(1-((1+$A325)/(1+'Table G'!$B$18))))+('Table G'!$B$14+'Table G'!$B$15)*(1+$A325)^(10-1)*(1+'Table G'!$B$27)/(('Table G'!$B$18-'Table G'!$B$27)*(1+'Table G'!$B$18)^10),"")</f>
        <v>322411.81966203405</v>
      </c>
    </row>
    <row r="326" spans="1:7" x14ac:dyDescent="0.2">
      <c r="A326" s="8">
        <f>-0.1+322*$B$2</f>
        <v>0.222</v>
      </c>
      <c r="B326" s="17">
        <f>IFERROR(('Table G'!$B$14+'Table G'!$B$15)/(1+'Table G'!$B$18)*IF(ABS(((1+$A326)/(1+'Table G'!$B$18))-1)&lt;0.000000001,5,(1-((1+$A326)/(1+'Table G'!$B$18))^5)/(1-((1+$A326)/(1+'Table G'!$B$18))))+('Table G'!$B$14+'Table G'!$B$15)*(1+$A326)^(5-1)*(1+'Table G'!$B$25)/(('Table G'!$B$18-'Table G'!$B$25)*(1+'Table G'!$B$18)^5),"")</f>
        <v>139203.42434314996</v>
      </c>
      <c r="C326" s="17">
        <f>IFERROR(('Table G'!$B$14+'Table G'!$B$15)/(1+'Table G'!$B$18)*IF(ABS(((1+$A326)/(1+'Table G'!$B$18))-1)&lt;0.000000001,10,(1-((1+$A326)/(1+'Table G'!$B$18))^10)/(1-((1+$A326)/(1+'Table G'!$B$18))))+('Table G'!$B$14+'Table G'!$B$15)*(1+$A326)^(10-1)*(1+'Table G'!$B$25)/(('Table G'!$B$18-'Table G'!$B$25)*(1+'Table G'!$B$18)^10),"")</f>
        <v>286719.78673459892</v>
      </c>
      <c r="D326" s="17">
        <f>IFERROR(('Table G'!$B$14+'Table G'!$B$15)/(1+'Table G'!$B$18)*IF(ABS(((1+$A326)/(1+'Table G'!$B$18))-1)&lt;0.000000001,5,(1-((1+$A326)/(1+'Table G'!$B$18))^5)/(1-((1+$A326)/(1+'Table G'!$B$18))))+('Table G'!$B$14+'Table G'!$B$15)*(1+$A326)^(5-1)*(1+'Table G'!$B$26)/(('Table G'!$B$18-'Table G'!$B$26)*(1+'Table G'!$B$18)^5),"")</f>
        <v>148607.22095917846</v>
      </c>
      <c r="E326" s="17">
        <f>IFERROR(('Table G'!$B$14+'Table G'!$B$15)/(1+'Table G'!$B$18)*IF(ABS(((1+$A326)/(1+'Table G'!$B$18))-1)&lt;0.000000001,10,(1-((1+$A326)/(1+'Table G'!$B$18))^10)/(1-((1+$A326)/(1+'Table G'!$B$18))))+('Table G'!$B$14+'Table G'!$B$15)*(1+$A326)^(10-1)*(1+'Table G'!$B$26)/(('Table G'!$B$18-'Table G'!$B$26)*(1+'Table G'!$B$18)^10),"")</f>
        <v>304123.7001269249</v>
      </c>
      <c r="F326" s="17">
        <f>IFERROR(('Table G'!$B$14+'Table G'!$B$15)/(1+'Table G'!$B$18)*IF(ABS(((1+$A326)/(1+'Table G'!$B$18))-1)&lt;0.000000001,5,(1-((1+$A326)/(1+'Table G'!$B$18))^5)/(1-((1+$A326)/(1+'Table G'!$B$18))))+('Table G'!$B$14+'Table G'!$B$15)*(1+$A326)^(5-1)*(1+'Table G'!$B$27)/(('Table G'!$B$18-'Table G'!$B$27)*(1+'Table G'!$B$18)^5),"")</f>
        <v>159648.04014415506</v>
      </c>
      <c r="G326" s="17">
        <f>IFERROR(('Table G'!$B$14+'Table G'!$B$15)/(1+'Table G'!$B$18)*IF(ABS(((1+$A326)/(1+'Table G'!$B$18))-1)&lt;0.000000001,10,(1-((1+$A326)/(1+'Table G'!$B$18))^10)/(1-((1+$A326)/(1+'Table G'!$B$18))))+('Table G'!$B$14+'Table G'!$B$15)*(1+$A326)^(10-1)*(1+'Table G'!$B$27)/(('Table G'!$B$18-'Table G'!$B$27)*(1+'Table G'!$B$18)^10),"")</f>
        <v>324557.30462961528</v>
      </c>
    </row>
    <row r="327" spans="1:7" x14ac:dyDescent="0.2">
      <c r="A327" s="8">
        <f>-0.1+323*$B$2</f>
        <v>0.223</v>
      </c>
      <c r="B327" s="17">
        <f>IFERROR(('Table G'!$B$14+'Table G'!$B$15)/(1+'Table G'!$B$18)*IF(ABS(((1+$A327)/(1+'Table G'!$B$18))-1)&lt;0.000000001,5,(1-((1+$A327)/(1+'Table G'!$B$18))^5)/(1-((1+$A327)/(1+'Table G'!$B$18))))+('Table G'!$B$14+'Table G'!$B$15)*(1+$A327)^(5-1)*(1+'Table G'!$B$25)/(('Table G'!$B$18-'Table G'!$B$25)*(1+'Table G'!$B$18)^5),"")</f>
        <v>139617.78193063237</v>
      </c>
      <c r="C327" s="17">
        <f>IFERROR(('Table G'!$B$14+'Table G'!$B$15)/(1+'Table G'!$B$18)*IF(ABS(((1+$A327)/(1+'Table G'!$B$18))-1)&lt;0.000000001,10,(1-((1+$A327)/(1+'Table G'!$B$18))^10)/(1-((1+$A327)/(1+'Table G'!$B$18))))+('Table G'!$B$14+'Table G'!$B$15)*(1+$A327)^(10-1)*(1+'Table G'!$B$25)/(('Table G'!$B$18-'Table G'!$B$25)*(1+'Table G'!$B$18)^10),"")</f>
        <v>288599.13006808038</v>
      </c>
      <c r="D327" s="17">
        <f>IFERROR(('Table G'!$B$14+'Table G'!$B$15)/(1+'Table G'!$B$18)*IF(ABS(((1+$A327)/(1+'Table G'!$B$18))-1)&lt;0.000000001,5,(1-((1+$A327)/(1+'Table G'!$B$18))^5)/(1-((1+$A327)/(1+'Table G'!$B$18))))+('Table G'!$B$14+'Table G'!$B$15)*(1+$A327)^(5-1)*(1+'Table G'!$B$26)/(('Table G'!$B$18-'Table G'!$B$26)*(1+'Table G'!$B$18)^5),"")</f>
        <v>149052.39800995571</v>
      </c>
      <c r="E327" s="17">
        <f>IFERROR(('Table G'!$B$14+'Table G'!$B$15)/(1+'Table G'!$B$18)*IF(ABS(((1+$A327)/(1+'Table G'!$B$18))-1)&lt;0.000000001,10,(1-((1+$A327)/(1+'Table G'!$B$18))^10)/(1-((1+$A327)/(1+'Table G'!$B$18))))+('Table G'!$B$14+'Table G'!$B$15)*(1+$A327)^(10-1)*(1+'Table G'!$B$26)/(('Table G'!$B$18-'Table G'!$B$26)*(1+'Table G'!$B$18)^10),"")</f>
        <v>306131.6432298955</v>
      </c>
      <c r="F327" s="17">
        <f>IFERROR(('Table G'!$B$14+'Table G'!$B$15)/(1+'Table G'!$B$18)*IF(ABS(((1+$A327)/(1+'Table G'!$B$18))-1)&lt;0.000000001,5,(1-((1+$A327)/(1+'Table G'!$B$18))^5)/(1-((1+$A327)/(1+'Table G'!$B$18))))+('Table G'!$B$14+'Table G'!$B$15)*(1+$A327)^(5-1)*(1+'Table G'!$B$27)/(('Table G'!$B$18-'Table G'!$B$27)*(1+'Table G'!$B$18)^5),"")</f>
        <v>160129.40174203712</v>
      </c>
      <c r="G327" s="17">
        <f>IFERROR(('Table G'!$B$14+'Table G'!$B$15)/(1+'Table G'!$B$18)*IF(ABS(((1+$A327)/(1+'Table G'!$B$18))-1)&lt;0.000000001,10,(1-((1+$A327)/(1+'Table G'!$B$18))^10)/(1-((1+$A327)/(1+'Table G'!$B$18))))+('Table G'!$B$14+'Table G'!$B$15)*(1+$A327)^(10-1)*(1+'Table G'!$B$27)/(('Table G'!$B$18-'Table G'!$B$27)*(1+'Table G'!$B$18)^10),"")</f>
        <v>326716.23428196937</v>
      </c>
    </row>
    <row r="328" spans="1:7" x14ac:dyDescent="0.2">
      <c r="A328" s="8">
        <f>-0.1+324*$B$2</f>
        <v>0.224</v>
      </c>
      <c r="B328" s="17">
        <f>IFERROR(('Table G'!$B$14+'Table G'!$B$15)/(1+'Table G'!$B$18)*IF(ABS(((1+$A328)/(1+'Table G'!$B$18))-1)&lt;0.000000001,5,(1-((1+$A328)/(1+'Table G'!$B$18))^5)/(1-((1+$A328)/(1+'Table G'!$B$18))))+('Table G'!$B$14+'Table G'!$B$15)*(1+$A328)^(5-1)*(1+'Table G'!$B$25)/(('Table G'!$B$18-'Table G'!$B$25)*(1+'Table G'!$B$18)^5),"")</f>
        <v>140033.11857520186</v>
      </c>
      <c r="C328" s="17">
        <f>IFERROR(('Table G'!$B$14+'Table G'!$B$15)/(1+'Table G'!$B$18)*IF(ABS(((1+$A328)/(1+'Table G'!$B$18))-1)&lt;0.000000001,10,(1-((1+$A328)/(1+'Table G'!$B$18))^10)/(1-((1+$A328)/(1+'Table G'!$B$18))))+('Table G'!$B$14+'Table G'!$B$15)*(1+$A328)^(10-1)*(1+'Table G'!$B$25)/(('Table G'!$B$18-'Table G'!$B$25)*(1+'Table G'!$B$18)^10),"")</f>
        <v>290490.15833743149</v>
      </c>
      <c r="D328" s="17">
        <f>IFERROR(('Table G'!$B$14+'Table G'!$B$15)/(1+'Table G'!$B$18)*IF(ABS(((1+$A328)/(1+'Table G'!$B$18))-1)&lt;0.000000001,5,(1-((1+$A328)/(1+'Table G'!$B$18))^5)/(1-((1+$A328)/(1+'Table G'!$B$18))))+('Table G'!$B$14+'Table G'!$B$15)*(1+$A328)^(5-1)*(1+'Table G'!$B$26)/(('Table G'!$B$18-'Table G'!$B$26)*(1+'Table G'!$B$18)^5),"")</f>
        <v>149498.6298102788</v>
      </c>
      <c r="E328" s="17">
        <f>IFERROR(('Table G'!$B$14+'Table G'!$B$15)/(1+'Table G'!$B$18)*IF(ABS(((1+$A328)/(1+'Table G'!$B$18))-1)&lt;0.000000001,10,(1-((1+$A328)/(1+'Table G'!$B$18))^10)/(1-((1+$A328)/(1+'Table G'!$B$18))))+('Table G'!$B$14+'Table G'!$B$15)*(1+$A328)^(10-1)*(1+'Table G'!$B$26)/(('Table G'!$B$18-'Table G'!$B$26)*(1+'Table G'!$B$18)^10),"")</f>
        <v>308152.11523438815</v>
      </c>
      <c r="F328" s="17">
        <f>IFERROR(('Table G'!$B$14+'Table G'!$B$15)/(1+'Table G'!$B$18)*IF(ABS(((1+$A328)/(1+'Table G'!$B$18))-1)&lt;0.000000001,5,(1-((1+$A328)/(1+'Table G'!$B$18))^5)/(1-((1+$A328)/(1+'Table G'!$B$18))))+('Table G'!$B$14+'Table G'!$B$15)*(1+$A328)^(5-1)*(1+'Table G'!$B$27)/(('Table G'!$B$18-'Table G'!$B$27)*(1+'Table G'!$B$18)^5),"")</f>
        <v>160611.90695854463</v>
      </c>
      <c r="G328" s="17">
        <f>IFERROR(('Table G'!$B$14+'Table G'!$B$15)/(1+'Table G'!$B$18)*IF(ABS(((1+$A328)/(1+'Table G'!$B$18))-1)&lt;0.000000001,10,(1-((1+$A328)/(1+'Table G'!$B$18))^10)/(1-((1+$A328)/(1+'Table G'!$B$18))))+('Table G'!$B$14+'Table G'!$B$15)*(1+$A328)^(10-1)*(1+'Table G'!$B$27)/(('Table G'!$B$18-'Table G'!$B$27)*(1+'Table G'!$B$18)^10),"")</f>
        <v>328888.68371990521</v>
      </c>
    </row>
    <row r="329" spans="1:7" x14ac:dyDescent="0.2">
      <c r="A329" s="8">
        <f>-0.1+325*$B$2</f>
        <v>0.22500000000000001</v>
      </c>
      <c r="B329" s="17">
        <f>IFERROR(('Table G'!$B$14+'Table G'!$B$15)/(1+'Table G'!$B$18)*IF(ABS(((1+$A329)/(1+'Table G'!$B$18))-1)&lt;0.000000001,5,(1-((1+$A329)/(1+'Table G'!$B$18))^5)/(1-((1+$A329)/(1+'Table G'!$B$18))))+('Table G'!$B$14+'Table G'!$B$15)*(1+$A329)^(5-1)*(1+'Table G'!$B$25)/(('Table G'!$B$18-'Table G'!$B$25)*(1+'Table G'!$B$18)^5),"")</f>
        <v>140449.43584469997</v>
      </c>
      <c r="C329" s="17">
        <f>IFERROR(('Table G'!$B$14+'Table G'!$B$15)/(1+'Table G'!$B$18)*IF(ABS(((1+$A329)/(1+'Table G'!$B$18))-1)&lt;0.000000001,10,(1-((1+$A329)/(1+'Table G'!$B$18))^10)/(1-((1+$A329)/(1+'Table G'!$B$18))))+('Table G'!$B$14+'Table G'!$B$15)*(1+$A329)^(10-1)*(1+'Table G'!$B$25)/(('Table G'!$B$18-'Table G'!$B$25)*(1+'Table G'!$B$18)^10),"")</f>
        <v>292392.93647827802</v>
      </c>
      <c r="D329" s="17">
        <f>IFERROR(('Table G'!$B$14+'Table G'!$B$15)/(1+'Table G'!$B$18)*IF(ABS(((1+$A329)/(1+'Table G'!$B$18))-1)&lt;0.000000001,5,(1-((1+$A329)/(1+'Table G'!$B$18))^5)/(1-((1+$A329)/(1+'Table G'!$B$18))))+('Table G'!$B$14+'Table G'!$B$15)*(1+$A329)^(5-1)*(1+'Table G'!$B$26)/(('Table G'!$B$18-'Table G'!$B$26)*(1+'Table G'!$B$18)^5),"")</f>
        <v>149945.91805182138</v>
      </c>
      <c r="E329" s="17">
        <f>IFERROR(('Table G'!$B$14+'Table G'!$B$15)/(1+'Table G'!$B$18)*IF(ABS(((1+$A329)/(1+'Table G'!$B$18))-1)&lt;0.000000001,10,(1-((1+$A329)/(1+'Table G'!$B$18))^10)/(1-((1+$A329)/(1+'Table G'!$B$18))))+('Table G'!$B$14+'Table G'!$B$15)*(1+$A329)^(10-1)*(1+'Table G'!$B$26)/(('Table G'!$B$18-'Table G'!$B$26)*(1+'Table G'!$B$18)^10),"")</f>
        <v>310185.18591843848</v>
      </c>
      <c r="F329" s="17">
        <f>IFERROR(('Table G'!$B$14+'Table G'!$B$15)/(1+'Table G'!$B$18)*IF(ABS(((1+$A329)/(1+'Table G'!$B$18))-1)&lt;0.000000001,5,(1-((1+$A329)/(1+'Table G'!$B$18))^5)/(1-((1+$A329)/(1+'Table G'!$B$18))))+('Table G'!$B$14+'Table G'!$B$15)*(1+$A329)^(5-1)*(1+'Table G'!$B$27)/(('Table G'!$B$18-'Table G'!$B$27)*(1+'Table G'!$B$18)^5),"")</f>
        <v>161095.55763074031</v>
      </c>
      <c r="G329" s="17">
        <f>IFERROR(('Table G'!$B$14+'Table G'!$B$15)/(1+'Table G'!$B$18)*IF(ABS(((1+$A329)/(1+'Table G'!$B$18))-1)&lt;0.000000001,10,(1-((1+$A329)/(1+'Table G'!$B$18))^10)/(1-((1+$A329)/(1+'Table G'!$B$18))))+('Table G'!$B$14+'Table G'!$B$15)*(1+$A329)^(10-1)*(1+'Table G'!$B$27)/(('Table G'!$B$18-'Table G'!$B$27)*(1+'Table G'!$B$18)^10),"")</f>
        <v>331074.72840683989</v>
      </c>
    </row>
    <row r="330" spans="1:7" x14ac:dyDescent="0.2">
      <c r="A330" s="8">
        <f>-0.1+326*$B$2</f>
        <v>0.22600000000000001</v>
      </c>
      <c r="B330" s="17">
        <f>IFERROR(('Table G'!$B$14+'Table G'!$B$15)/(1+'Table G'!$B$18)*IF(ABS(((1+$A330)/(1+'Table G'!$B$18))-1)&lt;0.000000001,5,(1-((1+$A330)/(1+'Table G'!$B$18))^5)/(1-((1+$A330)/(1+'Table G'!$B$18))))+('Table G'!$B$14+'Table G'!$B$15)*(1+$A330)^(5-1)*(1+'Table G'!$B$25)/(('Table G'!$B$18-'Table G'!$B$25)*(1+'Table G'!$B$18)^5),"")</f>
        <v>140866.73530823164</v>
      </c>
      <c r="C330" s="17">
        <f>IFERROR(('Table G'!$B$14+'Table G'!$B$15)/(1+'Table G'!$B$18)*IF(ABS(((1+$A330)/(1+'Table G'!$B$18))-1)&lt;0.000000001,10,(1-((1+$A330)/(1+'Table G'!$B$18))^10)/(1-((1+$A330)/(1+'Table G'!$B$18))))+('Table G'!$B$14+'Table G'!$B$15)*(1+$A330)^(10-1)*(1+'Table G'!$B$25)/(('Table G'!$B$18-'Table G'!$B$25)*(1+'Table G'!$B$18)^10),"")</f>
        <v>294307.52973858139</v>
      </c>
      <c r="D330" s="17">
        <f>IFERROR(('Table G'!$B$14+'Table G'!$B$15)/(1+'Table G'!$B$18)*IF(ABS(((1+$A330)/(1+'Table G'!$B$18))-1)&lt;0.000000001,5,(1-((1+$A330)/(1+'Table G'!$B$18))^5)/(1-((1+$A330)/(1+'Table G'!$B$18))))+('Table G'!$B$14+'Table G'!$B$15)*(1+$A330)^(5-1)*(1+'Table G'!$B$26)/(('Table G'!$B$18-'Table G'!$B$26)*(1+'Table G'!$B$18)^5),"")</f>
        <v>150394.26442762188</v>
      </c>
      <c r="E330" s="17">
        <f>IFERROR(('Table G'!$B$14+'Table G'!$B$15)/(1+'Table G'!$B$18)*IF(ABS(((1+$A330)/(1+'Table G'!$B$18))-1)&lt;0.000000001,10,(1-((1+$A330)/(1+'Table G'!$B$18))^10)/(1-((1+$A330)/(1+'Table G'!$B$18))))+('Table G'!$B$14+'Table G'!$B$15)*(1+$A330)^(10-1)*(1+'Table G'!$B$26)/(('Table G'!$B$18-'Table G'!$B$26)*(1+'Table G'!$B$18)^10),"")</f>
        <v>312230.92539621302</v>
      </c>
      <c r="F330" s="17">
        <f>IFERROR(('Table G'!$B$14+'Table G'!$B$15)/(1+'Table G'!$B$18)*IF(ABS(((1+$A330)/(1+'Table G'!$B$18))-1)&lt;0.000000001,5,(1-((1+$A330)/(1+'Table G'!$B$18))^5)/(1-((1+$A330)/(1+'Table G'!$B$18))))+('Table G'!$B$14+'Table G'!$B$15)*(1+$A330)^(5-1)*(1+'Table G'!$B$27)/(('Table G'!$B$18-'Table G'!$B$27)*(1+'Table G'!$B$18)^5),"")</f>
        <v>161580.35559717039</v>
      </c>
      <c r="G330" s="17">
        <f>IFERROR(('Table G'!$B$14+'Table G'!$B$15)/(1+'Table G'!$B$18)*IF(ABS(((1+$A330)/(1+'Table G'!$B$18))-1)&lt;0.000000001,10,(1-((1+$A330)/(1+'Table G'!$B$18))^10)/(1-((1+$A330)/(1+'Table G'!$B$18))))+('Table G'!$B$14+'Table G'!$B$15)*(1+$A330)^(10-1)*(1+'Table G'!$B$27)/(('Table G'!$B$18-'Table G'!$B$27)*(1+'Table G'!$B$18)^10),"")</f>
        <v>333274.444170259</v>
      </c>
    </row>
    <row r="331" spans="1:7" x14ac:dyDescent="0.2">
      <c r="A331" s="8">
        <f>-0.1+327*$B$2</f>
        <v>0.22700000000000001</v>
      </c>
      <c r="B331" s="17">
        <f>IFERROR(('Table G'!$B$14+'Table G'!$B$15)/(1+'Table G'!$B$18)*IF(ABS(((1+$A331)/(1+'Table G'!$B$18))-1)&lt;0.000000001,5,(1-((1+$A331)/(1+'Table G'!$B$18))^5)/(1-((1+$A331)/(1+'Table G'!$B$18))))+('Table G'!$B$14+'Table G'!$B$15)*(1+$A331)^(5-1)*(1+'Table G'!$B$25)/(('Table G'!$B$18-'Table G'!$B$25)*(1+'Table G'!$B$18)^5),"")</f>
        <v>141285.01853616643</v>
      </c>
      <c r="C331" s="17">
        <f>IFERROR(('Table G'!$B$14+'Table G'!$B$15)/(1+'Table G'!$B$18)*IF(ABS(((1+$A331)/(1+'Table G'!$B$18))-1)&lt;0.000000001,10,(1-((1+$A331)/(1+'Table G'!$B$18))^10)/(1-((1+$A331)/(1+'Table G'!$B$18))))+('Table G'!$B$14+'Table G'!$B$15)*(1+$A331)^(10-1)*(1+'Table G'!$B$25)/(('Table G'!$B$18-'Table G'!$B$25)*(1+'Table G'!$B$18)^10),"")</f>
        <v>296234.00367990194</v>
      </c>
      <c r="D331" s="17">
        <f>IFERROR(('Table G'!$B$14+'Table G'!$B$15)/(1+'Table G'!$B$18)*IF(ABS(((1+$A331)/(1+'Table G'!$B$18))-1)&lt;0.000000001,5,(1-((1+$A331)/(1+'Table G'!$B$18))^5)/(1-((1+$A331)/(1+'Table G'!$B$18))))+('Table G'!$B$14+'Table G'!$B$15)*(1+$A331)^(5-1)*(1+'Table G'!$B$26)/(('Table G'!$B$18-'Table G'!$B$26)*(1+'Table G'!$B$18)^5),"")</f>
        <v>150843.67063208442</v>
      </c>
      <c r="E331" s="17">
        <f>IFERROR(('Table G'!$B$14+'Table G'!$B$15)/(1+'Table G'!$B$18)*IF(ABS(((1+$A331)/(1+'Table G'!$B$18))-1)&lt;0.000000001,10,(1-((1+$A331)/(1+'Table G'!$B$18))^10)/(1-((1+$A331)/(1+'Table G'!$B$18))))+('Table G'!$B$14+'Table G'!$B$15)*(1+$A331)^(10-1)*(1+'Table G'!$B$26)/(('Table G'!$B$18-'Table G'!$B$26)*(1+'Table G'!$B$18)^10),"")</f>
        <v>314289.40411937033</v>
      </c>
      <c r="F331" s="17">
        <f>IFERROR(('Table G'!$B$14+'Table G'!$B$15)/(1+'Table G'!$B$18)*IF(ABS(((1+$A331)/(1+'Table G'!$B$18))-1)&lt;0.000000001,5,(1-((1+$A331)/(1+'Table G'!$B$18))^5)/(1-((1+$A331)/(1+'Table G'!$B$18))))+('Table G'!$B$14+'Table G'!$B$15)*(1+$A331)^(5-1)*(1+'Table G'!$B$27)/(('Table G'!$B$18-'Table G'!$B$27)*(1+'Table G'!$B$18)^5),"")</f>
        <v>162066.30269786587</v>
      </c>
      <c r="G331" s="17">
        <f>IFERROR(('Table G'!$B$14+'Table G'!$B$15)/(1+'Table G'!$B$18)*IF(ABS(((1+$A331)/(1+'Table G'!$B$18))-1)&lt;0.000000001,10,(1-((1+$A331)/(1+'Table G'!$B$18))^10)/(1-((1+$A331)/(1+'Table G'!$B$18))))+('Table G'!$B$14+'Table G'!$B$15)*(1+$A331)^(10-1)*(1+'Table G'!$B$27)/(('Table G'!$B$18-'Table G'!$B$27)*(1+'Table G'!$B$18)^10),"")</f>
        <v>335487.90720319259</v>
      </c>
    </row>
    <row r="332" spans="1:7" x14ac:dyDescent="0.2">
      <c r="A332" s="8">
        <f>-0.1+328*$B$2</f>
        <v>0.22800000000000001</v>
      </c>
      <c r="B332" s="17">
        <f>IFERROR(('Table G'!$B$14+'Table G'!$B$15)/(1+'Table G'!$B$18)*IF(ABS(((1+$A332)/(1+'Table G'!$B$18))-1)&lt;0.000000001,5,(1-((1+$A332)/(1+'Table G'!$B$18))^5)/(1-((1+$A332)/(1+'Table G'!$B$18))))+('Table G'!$B$14+'Table G'!$B$15)*(1+$A332)^(5-1)*(1+'Table G'!$B$25)/(('Table G'!$B$18-'Table G'!$B$25)*(1+'Table G'!$B$18)^5),"")</f>
        <v>141704.28710013744</v>
      </c>
      <c r="C332" s="17">
        <f>IFERROR(('Table G'!$B$14+'Table G'!$B$15)/(1+'Table G'!$B$18)*IF(ABS(((1+$A332)/(1+'Table G'!$B$18))-1)&lt;0.000000001,10,(1-((1+$A332)/(1+'Table G'!$B$18))^10)/(1-((1+$A332)/(1+'Table G'!$B$18))))+('Table G'!$B$14+'Table G'!$B$15)*(1+$A332)^(10-1)*(1+'Table G'!$B$25)/(('Table G'!$B$18-'Table G'!$B$25)*(1+'Table G'!$B$18)^10),"")</f>
        <v>298172.42417865584</v>
      </c>
      <c r="D332" s="17">
        <f>IFERROR(('Table G'!$B$14+'Table G'!$B$15)/(1+'Table G'!$B$18)*IF(ABS(((1+$A332)/(1+'Table G'!$B$18))-1)&lt;0.000000001,5,(1-((1+$A332)/(1+'Table G'!$B$18))^5)/(1-((1+$A332)/(1+'Table G'!$B$18))))+('Table G'!$B$14+'Table G'!$B$15)*(1+$A332)^(5-1)*(1+'Table G'!$B$26)/(('Table G'!$B$18-'Table G'!$B$26)*(1+'Table G'!$B$18)^5),"")</f>
        <v>151294.13836097802</v>
      </c>
      <c r="E332" s="17">
        <f>IFERROR(('Table G'!$B$14+'Table G'!$B$15)/(1+'Table G'!$B$18)*IF(ABS(((1+$A332)/(1+'Table G'!$B$18))-1)&lt;0.000000001,10,(1-((1+$A332)/(1+'Table G'!$B$18))^10)/(1-((1+$A332)/(1+'Table G'!$B$18))))+('Table G'!$B$14+'Table G'!$B$15)*(1+$A332)^(10-1)*(1+'Table G'!$B$26)/(('Table G'!$B$18-'Table G'!$B$26)*(1+'Table G'!$B$18)^10),"")</f>
        <v>316360.69287841523</v>
      </c>
      <c r="F332" s="17">
        <f>IFERROR(('Table G'!$B$14+'Table G'!$B$15)/(1+'Table G'!$B$18)*IF(ABS(((1+$A332)/(1+'Table G'!$B$18))-1)&lt;0.000000001,5,(1-((1+$A332)/(1+'Table G'!$B$18))^5)/(1-((1+$A332)/(1+'Table G'!$B$18))))+('Table G'!$B$14+'Table G'!$B$15)*(1+$A332)^(5-1)*(1+'Table G'!$B$27)/(('Table G'!$B$18-'Table G'!$B$27)*(1+'Table G'!$B$18)^5),"")</f>
        <v>162553.40077434113</v>
      </c>
      <c r="G332" s="17">
        <f>IFERROR(('Table G'!$B$14+'Table G'!$B$15)/(1+'Table G'!$B$18)*IF(ABS(((1+$A332)/(1+'Table G'!$B$18))-1)&lt;0.000000001,10,(1-((1+$A332)/(1+'Table G'!$B$18))^10)/(1-((1+$A332)/(1+'Table G'!$B$18))))+('Table G'!$B$14+'Table G'!$B$15)*(1+$A332)^(10-1)*(1+'Table G'!$B$27)/(('Table G'!$B$18-'Table G'!$B$27)*(1+'Table G'!$B$18)^10),"")</f>
        <v>337715.19406568387</v>
      </c>
    </row>
    <row r="333" spans="1:7" x14ac:dyDescent="0.2">
      <c r="A333" s="8">
        <f>-0.1+329*$B$2</f>
        <v>0.22900000000000001</v>
      </c>
      <c r="B333" s="17">
        <f>IFERROR(('Table G'!$B$14+'Table G'!$B$15)/(1+'Table G'!$B$18)*IF(ABS(((1+$A333)/(1+'Table G'!$B$18))-1)&lt;0.000000001,5,(1-((1+$A333)/(1+'Table G'!$B$18))^5)/(1-((1+$A333)/(1+'Table G'!$B$18))))+('Table G'!$B$14+'Table G'!$B$15)*(1+$A333)^(5-1)*(1+'Table G'!$B$25)/(('Table G'!$B$18-'Table G'!$B$25)*(1+'Table G'!$B$18)^5),"")</f>
        <v>142124.54257304207</v>
      </c>
      <c r="C333" s="17">
        <f>IFERROR(('Table G'!$B$14+'Table G'!$B$15)/(1+'Table G'!$B$18)*IF(ABS(((1+$A333)/(1+'Table G'!$B$18))-1)&lt;0.000000001,10,(1-((1+$A333)/(1+'Table G'!$B$18))^10)/(1-((1+$A333)/(1+'Table G'!$B$18))))+('Table G'!$B$14+'Table G'!$B$15)*(1+$A333)^(10-1)*(1+'Table G'!$B$25)/(('Table G'!$B$18-'Table G'!$B$25)*(1+'Table G'!$B$18)^10),"")</f>
        <v>300122.85742738633</v>
      </c>
      <c r="D333" s="17">
        <f>IFERROR(('Table G'!$B$14+'Table G'!$B$15)/(1+'Table G'!$B$18)*IF(ABS(((1+$A333)/(1+'Table G'!$B$18))-1)&lt;0.000000001,5,(1-((1+$A333)/(1+'Table G'!$B$18))^5)/(1-((1+$A333)/(1+'Table G'!$B$18))))+('Table G'!$B$14+'Table G'!$B$15)*(1+$A333)^(5-1)*(1+'Table G'!$B$26)/(('Table G'!$B$18-'Table G'!$B$26)*(1+'Table G'!$B$18)^5),"")</f>
        <v>151745.66931143712</v>
      </c>
      <c r="E333" s="17">
        <f>IFERROR(('Table G'!$B$14+'Table G'!$B$15)/(1+'Table G'!$B$18)*IF(ABS(((1+$A333)/(1+'Table G'!$B$18))-1)&lt;0.000000001,10,(1-((1+$A333)/(1+'Table G'!$B$18))^10)/(1-((1+$A333)/(1+'Table G'!$B$18))))+('Table G'!$B$14+'Table G'!$B$15)*(1+$A333)^(10-1)*(1+'Table G'!$B$26)/(('Table G'!$B$18-'Table G'!$B$26)*(1+'Table G'!$B$18)^10),"")</f>
        <v>318444.86280406849</v>
      </c>
      <c r="F333" s="17">
        <f>IFERROR(('Table G'!$B$14+'Table G'!$B$15)/(1+'Table G'!$B$18)*IF(ABS(((1+$A333)/(1+'Table G'!$B$18))-1)&lt;0.000000001,5,(1-((1+$A333)/(1+'Table G'!$B$18))^5)/(1-((1+$A333)/(1+'Table G'!$B$18))))+('Table G'!$B$14+'Table G'!$B$15)*(1+$A333)^(5-1)*(1+'Table G'!$B$27)/(('Table G'!$B$18-'Table G'!$B$27)*(1+'Table G'!$B$18)^5),"")</f>
        <v>163041.65166959504</v>
      </c>
      <c r="G333" s="17">
        <f>IFERROR(('Table G'!$B$14+'Table G'!$B$15)/(1+'Table G'!$B$18)*IF(ABS(((1+$A333)/(1+'Table G'!$B$18))-1)&lt;0.000000001,10,(1-((1+$A333)/(1+'Table G'!$B$18))^10)/(1-((1+$A333)/(1+'Table G'!$B$18))))+('Table G'!$B$14+'Table G'!$B$15)*(1+$A333)^(10-1)*(1+'Table G'!$B$27)/(('Table G'!$B$18-'Table G'!$B$27)*(1+'Table G'!$B$18)^10),"")</f>
        <v>339956.38168627385</v>
      </c>
    </row>
    <row r="334" spans="1:7" x14ac:dyDescent="0.2">
      <c r="A334" s="8">
        <f>-0.1+330*$B$2</f>
        <v>0.23</v>
      </c>
      <c r="B334" s="17">
        <f>IFERROR(('Table G'!$B$14+'Table G'!$B$15)/(1+'Table G'!$B$18)*IF(ABS(((1+$A334)/(1+'Table G'!$B$18))-1)&lt;0.000000001,5,(1-((1+$A334)/(1+'Table G'!$B$18))^5)/(1-((1+$A334)/(1+'Table G'!$B$18))))+('Table G'!$B$14+'Table G'!$B$15)*(1+$A334)^(5-1)*(1+'Table G'!$B$25)/(('Table G'!$B$18-'Table G'!$B$25)*(1+'Table G'!$B$18)^5),"")</f>
        <v>142545.78652904151</v>
      </c>
      <c r="C334" s="17">
        <f>IFERROR(('Table G'!$B$14+'Table G'!$B$15)/(1+'Table G'!$B$18)*IF(ABS(((1+$A334)/(1+'Table G'!$B$18))-1)&lt;0.000000001,10,(1-((1+$A334)/(1+'Table G'!$B$18))^10)/(1-((1+$A334)/(1+'Table G'!$B$18))))+('Table G'!$B$14+'Table G'!$B$15)*(1+$A334)^(10-1)*(1+'Table G'!$B$25)/(('Table G'!$B$18-'Table G'!$B$25)*(1+'Table G'!$B$18)^10),"")</f>
        <v>302085.36993603111</v>
      </c>
      <c r="D334" s="17">
        <f>IFERROR(('Table G'!$B$14+'Table G'!$B$15)/(1+'Table G'!$B$18)*IF(ABS(((1+$A334)/(1+'Table G'!$B$18))-1)&lt;0.000000001,5,(1-((1+$A334)/(1+'Table G'!$B$18))^5)/(1-((1+$A334)/(1+'Table G'!$B$18))))+('Table G'!$B$14+'Table G'!$B$15)*(1+$A334)^(5-1)*(1+'Table G'!$B$26)/(('Table G'!$B$18-'Table G'!$B$26)*(1+'Table G'!$B$18)^5),"")</f>
        <v>152198.26518196112</v>
      </c>
      <c r="E334" s="17">
        <f>IFERROR(('Table G'!$B$14+'Table G'!$B$15)/(1+'Table G'!$B$18)*IF(ABS(((1+$A334)/(1+'Table G'!$B$18))-1)&lt;0.000000001,10,(1-((1+$A334)/(1+'Table G'!$B$18))^10)/(1-((1+$A334)/(1+'Table G'!$B$18))))+('Table G'!$B$14+'Table G'!$B$15)*(1+$A334)^(10-1)*(1+'Table G'!$B$26)/(('Table G'!$B$18-'Table G'!$B$26)*(1+'Table G'!$B$18)^10),"")</f>
        <v>320541.98536863184</v>
      </c>
      <c r="F334" s="17">
        <f>IFERROR(('Table G'!$B$14+'Table G'!$B$15)/(1+'Table G'!$B$18)*IF(ABS(((1+$A334)/(1+'Table G'!$B$18))-1)&lt;0.000000001,5,(1-((1+$A334)/(1+'Table G'!$B$18))^5)/(1-((1+$A334)/(1+'Table G'!$B$18))))+('Table G'!$B$14+'Table G'!$B$15)*(1+$A334)^(5-1)*(1+'Table G'!$B$27)/(('Table G'!$B$18-'Table G'!$B$27)*(1+'Table G'!$B$18)^5),"")</f>
        <v>163531.05722811029</v>
      </c>
      <c r="G334" s="17">
        <f>IFERROR(('Table G'!$B$14+'Table G'!$B$15)/(1+'Table G'!$B$18)*IF(ABS(((1+$A334)/(1+'Table G'!$B$18))-1)&lt;0.000000001,10,(1-((1+$A334)/(1+'Table G'!$B$18))^10)/(1-((1+$A334)/(1+'Table G'!$B$18))))+('Table G'!$B$14+'Table G'!$B$15)*(1+$A334)^(10-1)*(1+'Table G'!$B$27)/(('Table G'!$B$18-'Table G'!$B$27)*(1+'Table G'!$B$18)^10),"")</f>
        <v>342211.54736348212</v>
      </c>
    </row>
    <row r="335" spans="1:7" x14ac:dyDescent="0.2">
      <c r="A335" s="8">
        <f>-0.1+331*$B$2</f>
        <v>0.23100000000000001</v>
      </c>
      <c r="B335" s="17">
        <f>IFERROR(('Table G'!$B$14+'Table G'!$B$15)/(1+'Table G'!$B$18)*IF(ABS(((1+$A335)/(1+'Table G'!$B$18))-1)&lt;0.000000001,5,(1-((1+$A335)/(1+'Table G'!$B$18))^5)/(1-((1+$A335)/(1+'Table G'!$B$18))))+('Table G'!$B$14+'Table G'!$B$15)*(1+$A335)^(5-1)*(1+'Table G'!$B$25)/(('Table G'!$B$18-'Table G'!$B$25)*(1+'Table G'!$B$18)^5),"")</f>
        <v>142968.02054356126</v>
      </c>
      <c r="C335" s="17">
        <f>IFERROR(('Table G'!$B$14+'Table G'!$B$15)/(1+'Table G'!$B$18)*IF(ABS(((1+$A335)/(1+'Table G'!$B$18))-1)&lt;0.000000001,10,(1-((1+$A335)/(1+'Table G'!$B$18))^10)/(1-((1+$A335)/(1+'Table G'!$B$18))))+('Table G'!$B$14+'Table G'!$B$15)*(1+$A335)^(10-1)*(1+'Table G'!$B$25)/(('Table G'!$B$18-'Table G'!$B$25)*(1+'Table G'!$B$18)^10),"")</f>
        <v>304060.02853319974</v>
      </c>
      <c r="D335" s="17">
        <f>IFERROR(('Table G'!$B$14+'Table G'!$B$15)/(1+'Table G'!$B$18)*IF(ABS(((1+$A335)/(1+'Table G'!$B$18))-1)&lt;0.000000001,5,(1-((1+$A335)/(1+'Table G'!$B$18))^5)/(1-((1+$A335)/(1+'Table G'!$B$18))))+('Table G'!$B$14+'Table G'!$B$15)*(1+$A335)^(5-1)*(1+'Table G'!$B$26)/(('Table G'!$B$18-'Table G'!$B$26)*(1+'Table G'!$B$18)^5),"")</f>
        <v>152651.92767241507</v>
      </c>
      <c r="E335" s="17">
        <f>IFERROR(('Table G'!$B$14+'Table G'!$B$15)/(1+'Table G'!$B$18)*IF(ABS(((1+$A335)/(1+'Table G'!$B$18))-1)&lt;0.000000001,10,(1-((1+$A335)/(1+'Table G'!$B$18))^10)/(1-((1+$A335)/(1+'Table G'!$B$18))))+('Table G'!$B$14+'Table G'!$B$15)*(1+$A335)^(10-1)*(1+'Table G'!$B$26)/(('Table G'!$B$18-'Table G'!$B$26)*(1+'Table G'!$B$18)^10),"")</f>
        <v>322652.13238736475</v>
      </c>
      <c r="F335" s="17">
        <f>IFERROR(('Table G'!$B$14+'Table G'!$B$15)/(1+'Table G'!$B$18)*IF(ABS(((1+$A335)/(1+'Table G'!$B$18))-1)&lt;0.000000001,5,(1-((1+$A335)/(1+'Table G'!$B$18))^5)/(1-((1+$A335)/(1+'Table G'!$B$18))))+('Table G'!$B$14+'Table G'!$B$15)*(1+$A335)^(5-1)*(1+'Table G'!$B$27)/(('Table G'!$B$18-'Table G'!$B$27)*(1+'Table G'!$B$18)^5),"")</f>
        <v>164021.61929585383</v>
      </c>
      <c r="G335" s="17">
        <f>IFERROR(('Table G'!$B$14+'Table G'!$B$15)/(1+'Table G'!$B$18)*IF(ABS(((1+$A335)/(1+'Table G'!$B$18))-1)&lt;0.000000001,10,(1-((1+$A335)/(1+'Table G'!$B$18))^10)/(1-((1+$A335)/(1+'Table G'!$B$18))))+('Table G'!$B$14+'Table G'!$B$15)*(1+$A335)^(10-1)*(1+'Table G'!$B$27)/(('Table G'!$B$18-'Table G'!$B$27)*(1+'Table G'!$B$18)^10),"")</f>
        <v>344480.76876729901</v>
      </c>
    </row>
    <row r="336" spans="1:7" x14ac:dyDescent="0.2">
      <c r="A336" s="8">
        <f>-0.1+332*$B$2</f>
        <v>0.23200000000000001</v>
      </c>
      <c r="B336" s="17">
        <f>IFERROR(('Table G'!$B$14+'Table G'!$B$15)/(1+'Table G'!$B$18)*IF(ABS(((1+$A336)/(1+'Table G'!$B$18))-1)&lt;0.000000001,5,(1-((1+$A336)/(1+'Table G'!$B$18))^5)/(1-((1+$A336)/(1+'Table G'!$B$18))))+('Table G'!$B$14+'Table G'!$B$15)*(1+$A336)^(5-1)*(1+'Table G'!$B$25)/(('Table G'!$B$18-'Table G'!$B$25)*(1+'Table G'!$B$18)^5),"")</f>
        <v>143391.2461932906</v>
      </c>
      <c r="C336" s="17">
        <f>IFERROR(('Table G'!$B$14+'Table G'!$B$15)/(1+'Table G'!$B$18)*IF(ABS(((1+$A336)/(1+'Table G'!$B$18))-1)&lt;0.000000001,10,(1-((1+$A336)/(1+'Table G'!$B$18))^10)/(1-((1+$A336)/(1+'Table G'!$B$18))))+('Table G'!$B$14+'Table G'!$B$15)*(1+$A336)^(10-1)*(1+'Table G'!$B$25)/(('Table G'!$B$18-'Table G'!$B$25)*(1+'Table G'!$B$18)^10),"")</f>
        <v>306046.90036745014</v>
      </c>
      <c r="D336" s="17">
        <f>IFERROR(('Table G'!$B$14+'Table G'!$B$15)/(1+'Table G'!$B$18)*IF(ABS(((1+$A336)/(1+'Table G'!$B$18))-1)&lt;0.000000001,5,(1-((1+$A336)/(1+'Table G'!$B$18))^5)/(1-((1+$A336)/(1+'Table G'!$B$18))))+('Table G'!$B$14+'Table G'!$B$15)*(1+$A336)^(5-1)*(1+'Table G'!$B$26)/(('Table G'!$B$18-'Table G'!$B$26)*(1+'Table G'!$B$18)^5),"")</f>
        <v>153106.65848402889</v>
      </c>
      <c r="E336" s="17">
        <f>IFERROR(('Table G'!$B$14+'Table G'!$B$15)/(1+'Table G'!$B$18)*IF(ABS(((1+$A336)/(1+'Table G'!$B$18))-1)&lt;0.000000001,10,(1-((1+$A336)/(1+'Table G'!$B$18))^10)/(1-((1+$A336)/(1+'Table G'!$B$18))))+('Table G'!$B$14+'Table G'!$B$15)*(1+$A336)^(10-1)*(1+'Table G'!$B$26)/(('Table G'!$B$18-'Table G'!$B$26)*(1+'Table G'!$B$18)^10),"")</f>
        <v>324775.37601985951</v>
      </c>
      <c r="F336" s="17">
        <f>IFERROR(('Table G'!$B$14+'Table G'!$B$15)/(1+'Table G'!$B$18)*IF(ABS(((1+$A336)/(1+'Table G'!$B$18))-1)&lt;0.000000001,5,(1-((1+$A336)/(1+'Table G'!$B$18))^5)/(1-((1+$A336)/(1+'Table G'!$B$18))))+('Table G'!$B$14+'Table G'!$B$15)*(1+$A336)^(5-1)*(1+'Table G'!$B$27)/(('Table G'!$B$18-'Table G'!$B$27)*(1+'Table G'!$B$18)^5),"")</f>
        <v>164513.3397202765</v>
      </c>
      <c r="G336" s="17">
        <f>IFERROR(('Table G'!$B$14+'Table G'!$B$15)/(1+'Table G'!$B$18)*IF(ABS(((1+$A336)/(1+'Table G'!$B$18))-1)&lt;0.000000001,10,(1-((1+$A336)/(1+'Table G'!$B$18))^10)/(1-((1+$A336)/(1+'Table G'!$B$18))))+('Table G'!$B$14+'Table G'!$B$15)*(1+$A336)^(10-1)*(1+'Table G'!$B$27)/(('Table G'!$B$18-'Table G'!$B$27)*(1+'Table G'!$B$18)^10),"")</f>
        <v>346764.12394067715</v>
      </c>
    </row>
    <row r="337" spans="1:7" x14ac:dyDescent="0.2">
      <c r="A337" s="8">
        <f>-0.1+333*$B$2</f>
        <v>0.23300000000000001</v>
      </c>
      <c r="B337" s="17">
        <f>IFERROR(('Table G'!$B$14+'Table G'!$B$15)/(1+'Table G'!$B$18)*IF(ABS(((1+$A337)/(1+'Table G'!$B$18))-1)&lt;0.000000001,5,(1-((1+$A337)/(1+'Table G'!$B$18))^5)/(1-((1+$A337)/(1+'Table G'!$B$18))))+('Table G'!$B$14+'Table G'!$B$15)*(1+$A337)^(5-1)*(1+'Table G'!$B$25)/(('Table G'!$B$18-'Table G'!$B$25)*(1+'Table G'!$B$18)^5),"")</f>
        <v>143815.46505618296</v>
      </c>
      <c r="C337" s="17">
        <f>IFERROR(('Table G'!$B$14+'Table G'!$B$15)/(1+'Table G'!$B$18)*IF(ABS(((1+$A337)/(1+'Table G'!$B$18))-1)&lt;0.000000001,10,(1-((1+$A337)/(1+'Table G'!$B$18))^10)/(1-((1+$A337)/(1+'Table G'!$B$18))))+('Table G'!$B$14+'Table G'!$B$15)*(1+$A337)^(10-1)*(1+'Table G'!$B$25)/(('Table G'!$B$18-'Table G'!$B$25)*(1+'Table G'!$B$18)^10),"")</f>
        <v>308046.05290857324</v>
      </c>
      <c r="D337" s="17">
        <f>IFERROR(('Table G'!$B$14+'Table G'!$B$15)/(1+'Table G'!$B$18)*IF(ABS(((1+$A337)/(1+'Table G'!$B$18))-1)&lt;0.000000001,5,(1-((1+$A337)/(1+'Table G'!$B$18))^5)/(1-((1+$A337)/(1+'Table G'!$B$18))))+('Table G'!$B$14+'Table G'!$B$15)*(1+$A337)^(5-1)*(1+'Table G'!$B$26)/(('Table G'!$B$18-'Table G'!$B$26)*(1+'Table G'!$B$18)^5),"")</f>
        <v>153562.45931939795</v>
      </c>
      <c r="E337" s="17">
        <f>IFERROR(('Table G'!$B$14+'Table G'!$B$15)/(1+'Table G'!$B$18)*IF(ABS(((1+$A337)/(1+'Table G'!$B$18))-1)&lt;0.000000001,10,(1-((1+$A337)/(1+'Table G'!$B$18))^10)/(1-((1+$A337)/(1+'Table G'!$B$18))))+('Table G'!$B$14+'Table G'!$B$15)*(1+$A337)^(10-1)*(1+'Table G'!$B$26)/(('Table G'!$B$18-'Table G'!$B$26)*(1+'Table G'!$B$18)^10),"")</f>
        <v>326911.78877142526</v>
      </c>
      <c r="F337" s="17">
        <f>IFERROR(('Table G'!$B$14+'Table G'!$B$15)/(1+'Table G'!$B$18)*IF(ABS(((1+$A337)/(1+'Table G'!$B$18))-1)&lt;0.000000001,5,(1-((1+$A337)/(1+'Table G'!$B$18))^5)/(1-((1+$A337)/(1+'Table G'!$B$18))))+('Table G'!$B$14+'Table G'!$B$15)*(1+$A337)^(5-1)*(1+'Table G'!$B$27)/(('Table G'!$B$18-'Table G'!$B$27)*(1+'Table G'!$B$18)^5),"")</f>
        <v>165006.22035031335</v>
      </c>
      <c r="G337" s="17">
        <f>IFERROR(('Table G'!$B$14+'Table G'!$B$15)/(1+'Table G'!$B$18)*IF(ABS(((1+$A337)/(1+'Table G'!$B$18))-1)&lt;0.000000001,10,(1-((1+$A337)/(1+'Table G'!$B$18))^10)/(1-((1+$A337)/(1+'Table G'!$B$18))))+('Table G'!$B$14+'Table G'!$B$15)*(1+$A337)^(10-1)*(1+'Table G'!$B$27)/(('Table G'!$B$18-'Table G'!$B$27)*(1+'Table G'!$B$18)^10),"")</f>
        <v>349061.69130103209</v>
      </c>
    </row>
    <row r="338" spans="1:7" x14ac:dyDescent="0.2">
      <c r="A338" s="8">
        <f>-0.1+334*$B$2</f>
        <v>0.23400000000000001</v>
      </c>
      <c r="B338" s="17">
        <f>IFERROR(('Table G'!$B$14+'Table G'!$B$15)/(1+'Table G'!$B$18)*IF(ABS(((1+$A338)/(1+'Table G'!$B$18))-1)&lt;0.000000001,5,(1-((1+$A338)/(1+'Table G'!$B$18))^5)/(1-((1+$A338)/(1+'Table G'!$B$18))))+('Table G'!$B$14+'Table G'!$B$15)*(1+$A338)^(5-1)*(1+'Table G'!$B$25)/(('Table G'!$B$18-'Table G'!$B$25)*(1+'Table G'!$B$18)^5),"")</f>
        <v>144240.67871145566</v>
      </c>
      <c r="C338" s="17">
        <f>IFERROR(('Table G'!$B$14+'Table G'!$B$15)/(1+'Table G'!$B$18)*IF(ABS(((1+$A338)/(1+'Table G'!$B$18))-1)&lt;0.000000001,10,(1-((1+$A338)/(1+'Table G'!$B$18))^10)/(1-((1+$A338)/(1+'Table G'!$B$18))))+('Table G'!$B$14+'Table G'!$B$15)*(1+$A338)^(10-1)*(1+'Table G'!$B$25)/(('Table G'!$B$18-'Table G'!$B$25)*(1+'Table G'!$B$18)^10),"")</f>
        <v>310057.55394887889</v>
      </c>
      <c r="D338" s="17">
        <f>IFERROR(('Table G'!$B$14+'Table G'!$B$15)/(1+'Table G'!$B$18)*IF(ABS(((1+$A338)/(1+'Table G'!$B$18))-1)&lt;0.000000001,5,(1-((1+$A338)/(1+'Table G'!$B$18))^5)/(1-((1+$A338)/(1+'Table G'!$B$18))))+('Table G'!$B$14+'Table G'!$B$15)*(1+$A338)^(5-1)*(1+'Table G'!$B$26)/(('Table G'!$B$18-'Table G'!$B$26)*(1+'Table G'!$B$18)^5),"")</f>
        <v>154019.33188248266</v>
      </c>
      <c r="E338" s="17">
        <f>IFERROR(('Table G'!$B$14+'Table G'!$B$15)/(1+'Table G'!$B$18)*IF(ABS(((1+$A338)/(1+'Table G'!$B$18))-1)&lt;0.000000001,10,(1-((1+$A338)/(1+'Table G'!$B$18))^10)/(1-((1+$A338)/(1+'Table G'!$B$18))))+('Table G'!$B$14+'Table G'!$B$15)*(1+$A338)^(10-1)*(1+'Table G'!$B$26)/(('Table G'!$B$18-'Table G'!$B$26)*(1+'Table G'!$B$18)^10),"")</f>
        <v>329061.44349447341</v>
      </c>
      <c r="F338" s="17">
        <f>IFERROR(('Table G'!$B$14+'Table G'!$B$15)/(1+'Table G'!$B$18)*IF(ABS(((1+$A338)/(1+'Table G'!$B$18))-1)&lt;0.000000001,5,(1-((1+$A338)/(1+'Table G'!$B$18))^5)/(1-((1+$A338)/(1+'Table G'!$B$18))))+('Table G'!$B$14+'Table G'!$B$15)*(1+$A338)^(5-1)*(1+'Table G'!$B$27)/(('Table G'!$B$18-'Table G'!$B$27)*(1+'Table G'!$B$18)^5),"")</f>
        <v>165500.26303638329</v>
      </c>
      <c r="G338" s="17">
        <f>IFERROR(('Table G'!$B$14+'Table G'!$B$15)/(1+'Table G'!$B$18)*IF(ABS(((1+$A338)/(1+'Table G'!$B$18))-1)&lt;0.000000001,10,(1-((1+$A338)/(1+'Table G'!$B$18))^10)/(1-((1+$A338)/(1+'Table G'!$B$18))))+('Table G'!$B$14+'Table G'!$B$15)*(1+$A338)^(10-1)*(1+'Table G'!$B$27)/(('Table G'!$B$18-'Table G'!$B$27)*(1+'Table G'!$B$18)^10),"")</f>
        <v>351373.54964174447</v>
      </c>
    </row>
    <row r="339" spans="1:7" x14ac:dyDescent="0.2">
      <c r="A339" s="8">
        <f>-0.1+335*$B$2</f>
        <v>0.23500000000000001</v>
      </c>
      <c r="B339" s="17">
        <f>IFERROR(('Table G'!$B$14+'Table G'!$B$15)/(1+'Table G'!$B$18)*IF(ABS(((1+$A339)/(1+'Table G'!$B$18))-1)&lt;0.000000001,5,(1-((1+$A339)/(1+'Table G'!$B$18))^5)/(1-((1+$A339)/(1+'Table G'!$B$18))))+('Table G'!$B$14+'Table G'!$B$15)*(1+$A339)^(5-1)*(1+'Table G'!$B$25)/(('Table G'!$B$18-'Table G'!$B$25)*(1+'Table G'!$B$18)^5),"")</f>
        <v>144666.8887395903</v>
      </c>
      <c r="C339" s="17">
        <f>IFERROR(('Table G'!$B$14+'Table G'!$B$15)/(1+'Table G'!$B$18)*IF(ABS(((1+$A339)/(1+'Table G'!$B$18))-1)&lt;0.000000001,10,(1-((1+$A339)/(1+'Table G'!$B$18))^10)/(1-((1+$A339)/(1+'Table G'!$B$18))))+('Table G'!$B$14+'Table G'!$B$15)*(1+$A339)^(10-1)*(1+'Table G'!$B$25)/(('Table G'!$B$18-'Table G'!$B$25)*(1+'Table G'!$B$18)^10),"")</f>
        <v>312081.47160448867</v>
      </c>
      <c r="D339" s="17">
        <f>IFERROR(('Table G'!$B$14+'Table G'!$B$15)/(1+'Table G'!$B$18)*IF(ABS(((1+$A339)/(1+'Table G'!$B$18))-1)&lt;0.000000001,5,(1-((1+$A339)/(1+'Table G'!$B$18))^5)/(1-((1+$A339)/(1+'Table G'!$B$18))))+('Table G'!$B$14+'Table G'!$B$15)*(1+$A339)^(5-1)*(1+'Table G'!$B$26)/(('Table G'!$B$18-'Table G'!$B$26)*(1+'Table G'!$B$18)^5),"")</f>
        <v>154477.2778786089</v>
      </c>
      <c r="E339" s="17">
        <f>IFERROR(('Table G'!$B$14+'Table G'!$B$15)/(1+'Table G'!$B$18)*IF(ABS(((1+$A339)/(1+'Table G'!$B$18))-1)&lt;0.000000001,10,(1-((1+$A339)/(1+'Table G'!$B$18))^10)/(1-((1+$A339)/(1+'Table G'!$B$18))))+('Table G'!$B$14+'Table G'!$B$15)*(1+$A339)^(10-1)*(1+'Table G'!$B$26)/(('Table G'!$B$18-'Table G'!$B$26)*(1+'Table G'!$B$18)^10),"")</f>
        <v>331224.41338991059</v>
      </c>
      <c r="F339" s="17">
        <f>IFERROR(('Table G'!$B$14+'Table G'!$B$15)/(1+'Table G'!$B$18)*IF(ABS(((1+$A339)/(1+'Table G'!$B$18))-1)&lt;0.000000001,5,(1-((1+$A339)/(1+'Table G'!$B$18))^5)/(1-((1+$A339)/(1+'Table G'!$B$18))))+('Table G'!$B$14+'Table G'!$B$15)*(1+$A339)^(5-1)*(1+'Table G'!$B$27)/(('Table G'!$B$18-'Table G'!$B$27)*(1+'Table G'!$B$18)^5),"")</f>
        <v>165995.46963038959</v>
      </c>
      <c r="G339" s="17">
        <f>IFERROR(('Table G'!$B$14+'Table G'!$B$15)/(1+'Table G'!$B$18)*IF(ABS(((1+$A339)/(1+'Table G'!$B$18))-1)&lt;0.000000001,10,(1-((1+$A339)/(1+'Table G'!$B$18))^10)/(1-((1+$A339)/(1+'Table G'!$B$18))))+('Table G'!$B$14+'Table G'!$B$15)*(1+$A339)^(10-1)*(1+'Table G'!$B$27)/(('Table G'!$B$18-'Table G'!$B$27)*(1+'Table G'!$B$18)^10),"")</f>
        <v>353699.77813367045</v>
      </c>
    </row>
    <row r="340" spans="1:7" x14ac:dyDescent="0.2">
      <c r="A340" s="8">
        <f>-0.1+336*$B$2</f>
        <v>0.23600000000000002</v>
      </c>
      <c r="B340" s="17">
        <f>IFERROR(('Table G'!$B$14+'Table G'!$B$15)/(1+'Table G'!$B$18)*IF(ABS(((1+$A340)/(1+'Table G'!$B$18))-1)&lt;0.000000001,5,(1-((1+$A340)/(1+'Table G'!$B$18))^5)/(1-((1+$A340)/(1+'Table G'!$B$18))))+('Table G'!$B$14+'Table G'!$B$15)*(1+$A340)^(5-1)*(1+'Table G'!$B$25)/(('Table G'!$B$18-'Table G'!$B$25)*(1+'Table G'!$B$18)^5),"")</f>
        <v>145094.09672233212</v>
      </c>
      <c r="C340" s="17">
        <f>IFERROR(('Table G'!$B$14+'Table G'!$B$15)/(1+'Table G'!$B$18)*IF(ABS(((1+$A340)/(1+'Table G'!$B$18))-1)&lt;0.000000001,10,(1-((1+$A340)/(1+'Table G'!$B$18))^10)/(1-((1+$A340)/(1+'Table G'!$B$18))))+('Table G'!$B$14+'Table G'!$B$15)*(1+$A340)^(10-1)*(1+'Table G'!$B$25)/(('Table G'!$B$18-'Table G'!$B$25)*(1+'Table G'!$B$18)^10),"")</f>
        <v>314117.87431662908</v>
      </c>
      <c r="D340" s="17">
        <f>IFERROR(('Table G'!$B$14+'Table G'!$B$15)/(1+'Table G'!$B$18)*IF(ABS(((1+$A340)/(1+'Table G'!$B$18))-1)&lt;0.000000001,5,(1-((1+$A340)/(1+'Table G'!$B$18))^5)/(1-((1+$A340)/(1+'Table G'!$B$18))))+('Table G'!$B$14+'Table G'!$B$15)*(1+$A340)^(5-1)*(1+'Table G'!$B$26)/(('Table G'!$B$18-'Table G'!$B$26)*(1+'Table G'!$B$18)^5),"")</f>
        <v>154936.29901446751</v>
      </c>
      <c r="E340" s="17">
        <f>IFERROR(('Table G'!$B$14+'Table G'!$B$15)/(1+'Table G'!$B$18)*IF(ABS(((1+$A340)/(1+'Table G'!$B$18))-1)&lt;0.000000001,10,(1-((1+$A340)/(1+'Table G'!$B$18))^10)/(1-((1+$A340)/(1+'Table G'!$B$18))))+('Table G'!$B$14+'Table G'!$B$15)*(1+$A340)^(10-1)*(1+'Table G'!$B$26)/(('Table G'!$B$18-'Table G'!$B$26)*(1+'Table G'!$B$18)^10),"")</f>
        <v>333400.77200853161</v>
      </c>
      <c r="F340" s="17">
        <f>IFERROR(('Table G'!$B$14+'Table G'!$B$15)/(1+'Table G'!$B$18)*IF(ABS(((1+$A340)/(1+'Table G'!$B$18))-1)&lt;0.000000001,5,(1-((1+$A340)/(1+'Table G'!$B$18))^5)/(1-((1+$A340)/(1+'Table G'!$B$18))))+('Table G'!$B$14+'Table G'!$B$15)*(1+$A340)^(5-1)*(1+'Table G'!$B$27)/(('Table G'!$B$18-'Table G'!$B$27)*(1+'Table G'!$B$18)^5),"")</f>
        <v>166491.84198571925</v>
      </c>
      <c r="G340" s="17">
        <f>IFERROR(('Table G'!$B$14+'Table G'!$B$15)/(1+'Table G'!$B$18)*IF(ABS(((1+$A340)/(1+'Table G'!$B$18))-1)&lt;0.000000001,10,(1-((1+$A340)/(1+'Table G'!$B$18))^10)/(1-((1+$A340)/(1+'Table G'!$B$18))))+('Table G'!$B$14+'Table G'!$B$15)*(1+$A340)^(10-1)*(1+'Table G'!$B$27)/(('Table G'!$B$18-'Table G'!$B$27)*(1+'Table G'!$B$18)^10),"")</f>
        <v>356040.45632665243</v>
      </c>
    </row>
    <row r="341" spans="1:7" x14ac:dyDescent="0.2">
      <c r="A341" s="8">
        <f>-0.1+337*$B$2</f>
        <v>0.23700000000000002</v>
      </c>
      <c r="B341" s="17">
        <f>IFERROR(('Table G'!$B$14+'Table G'!$B$15)/(1+'Table G'!$B$18)*IF(ABS(((1+$A341)/(1+'Table G'!$B$18))-1)&lt;0.000000001,5,(1-((1+$A341)/(1+'Table G'!$B$18))^5)/(1-((1+$A341)/(1+'Table G'!$B$18))))+('Table G'!$B$14+'Table G'!$B$15)*(1+$A341)^(5-1)*(1+'Table G'!$B$25)/(('Table G'!$B$18-'Table G'!$B$25)*(1+'Table G'!$B$18)^5),"")</f>
        <v>145522.30424269073</v>
      </c>
      <c r="C341" s="17">
        <f>IFERROR(('Table G'!$B$14+'Table G'!$B$15)/(1+'Table G'!$B$18)*IF(ABS(((1+$A341)/(1+'Table G'!$B$18))-1)&lt;0.000000001,10,(1-((1+$A341)/(1+'Table G'!$B$18))^10)/(1-((1+$A341)/(1+'Table G'!$B$18))))+('Table G'!$B$14+'Table G'!$B$15)*(1+$A341)^(10-1)*(1+'Table G'!$B$25)/(('Table G'!$B$18-'Table G'!$B$25)*(1+'Table G'!$B$18)^10),"")</f>
        <v>316166.83085293387</v>
      </c>
      <c r="D341" s="17">
        <f>IFERROR(('Table G'!$B$14+'Table G'!$B$15)/(1+'Table G'!$B$18)*IF(ABS(((1+$A341)/(1+'Table G'!$B$18))-1)&lt;0.000000001,5,(1-((1+$A341)/(1+'Table G'!$B$18))^5)/(1-((1+$A341)/(1+'Table G'!$B$18))))+('Table G'!$B$14+'Table G'!$B$15)*(1+$A341)^(5-1)*(1+'Table G'!$B$26)/(('Table G'!$B$18-'Table G'!$B$26)*(1+'Table G'!$B$18)^5),"")</f>
        <v>155396.39699811485</v>
      </c>
      <c r="E341" s="17">
        <f>IFERROR(('Table G'!$B$14+'Table G'!$B$15)/(1+'Table G'!$B$18)*IF(ABS(((1+$A341)/(1+'Table G'!$B$18))-1)&lt;0.000000001,10,(1-((1+$A341)/(1+'Table G'!$B$18))^10)/(1-((1+$A341)/(1+'Table G'!$B$18))))+('Table G'!$B$14+'Table G'!$B$15)*(1+$A341)^(10-1)*(1+'Table G'!$B$26)/(('Table G'!$B$18-'Table G'!$B$26)*(1+'Table G'!$B$18)^10),"")</f>
        <v>335590.59325242322</v>
      </c>
      <c r="F341" s="17">
        <f>IFERROR(('Table G'!$B$14+'Table G'!$B$15)/(1+'Table G'!$B$18)*IF(ABS(((1+$A341)/(1+'Table G'!$B$18))-1)&lt;0.000000001,5,(1-((1+$A341)/(1+'Table G'!$B$18))^5)/(1-((1+$A341)/(1+'Table G'!$B$18))))+('Table G'!$B$14+'Table G'!$B$15)*(1+$A341)^(5-1)*(1+'Table G'!$B$27)/(('Table G'!$B$18-'Table G'!$B$27)*(1+'Table G'!$B$18)^5),"")</f>
        <v>166989.38195724366</v>
      </c>
      <c r="G341" s="17">
        <f>IFERROR(('Table G'!$B$14+'Table G'!$B$15)/(1+'Table G'!$B$18)*IF(ABS(((1+$A341)/(1+'Table G'!$B$18))-1)&lt;0.000000001,10,(1-((1+$A341)/(1+'Table G'!$B$18))^10)/(1-((1+$A341)/(1+'Table G'!$B$18))))+('Table G'!$B$14+'Table G'!$B$15)*(1+$A341)^(10-1)*(1+'Table G'!$B$27)/(('Table G'!$B$18-'Table G'!$B$27)*(1+'Table G'!$B$18)^10),"")</f>
        <v>358395.6641510406</v>
      </c>
    </row>
    <row r="342" spans="1:7" x14ac:dyDescent="0.2">
      <c r="A342" s="8">
        <f>-0.1+338*$B$2</f>
        <v>0.23800000000000002</v>
      </c>
      <c r="B342" s="17">
        <f>IFERROR(('Table G'!$B$14+'Table G'!$B$15)/(1+'Table G'!$B$18)*IF(ABS(((1+$A342)/(1+'Table G'!$B$18))-1)&lt;0.000000001,5,(1-((1+$A342)/(1+'Table G'!$B$18))^5)/(1-((1+$A342)/(1+'Table G'!$B$18))))+('Table G'!$B$14+'Table G'!$B$15)*(1+$A342)^(5-1)*(1+'Table G'!$B$25)/(('Table G'!$B$18-'Table G'!$B$25)*(1+'Table G'!$B$18)^5),"")</f>
        <v>145951.5128849395</v>
      </c>
      <c r="C342" s="17">
        <f>IFERROR(('Table G'!$B$14+'Table G'!$B$15)/(1+'Table G'!$B$18)*IF(ABS(((1+$A342)/(1+'Table G'!$B$18))-1)&lt;0.000000001,10,(1-((1+$A342)/(1+'Table G'!$B$18))^10)/(1-((1+$A342)/(1+'Table G'!$B$18))))+('Table G'!$B$14+'Table G'!$B$15)*(1+$A342)^(10-1)*(1+'Table G'!$B$25)/(('Table G'!$B$18-'Table G'!$B$25)*(1+'Table G'!$B$18)^10),"")</f>
        <v>318228.41030874389</v>
      </c>
      <c r="D342" s="17">
        <f>IFERROR(('Table G'!$B$14+'Table G'!$B$15)/(1+'Table G'!$B$18)*IF(ABS(((1+$A342)/(1+'Table G'!$B$18))-1)&lt;0.000000001,5,(1-((1+$A342)/(1+'Table G'!$B$18))^5)/(1-((1+$A342)/(1+'Table G'!$B$18))))+('Table G'!$B$14+'Table G'!$B$15)*(1+$A342)^(5-1)*(1+'Table G'!$B$26)/(('Table G'!$B$18-'Table G'!$B$26)*(1+'Table G'!$B$18)^5),"")</f>
        <v>155857.57353897218</v>
      </c>
      <c r="E342" s="17">
        <f>IFERROR(('Table G'!$B$14+'Table G'!$B$15)/(1+'Table G'!$B$18)*IF(ABS(((1+$A342)/(1+'Table G'!$B$18))-1)&lt;0.000000001,10,(1-((1+$A342)/(1+'Table G'!$B$18))^10)/(1-((1+$A342)/(1+'Table G'!$B$18))))+('Table G'!$B$14+'Table G'!$B$15)*(1+$A342)^(10-1)*(1+'Table G'!$B$26)/(('Table G'!$B$18-'Table G'!$B$26)*(1+'Table G'!$B$18)^10),"")</f>
        <v>337793.95137636398</v>
      </c>
      <c r="F342" s="17">
        <f>IFERROR(('Table G'!$B$14+'Table G'!$B$15)/(1+'Table G'!$B$18)*IF(ABS(((1+$A342)/(1+'Table G'!$B$18))-1)&lt;0.000000001,5,(1-((1+$A342)/(1+'Table G'!$B$18))^5)/(1-((1+$A342)/(1+'Table G'!$B$18))))+('Table G'!$B$14+'Table G'!$B$15)*(1+$A342)^(5-1)*(1+'Table G'!$B$27)/(('Table G'!$B$18-'Table G'!$B$27)*(1+'Table G'!$B$18)^5),"")</f>
        <v>167488.09140131791</v>
      </c>
      <c r="G342" s="17">
        <f>IFERROR(('Table G'!$B$14+'Table G'!$B$15)/(1+'Table G'!$B$18)*IF(ABS(((1+$A342)/(1+'Table G'!$B$18))-1)&lt;0.000000001,10,(1-((1+$A342)/(1+'Table G'!$B$18))^10)/(1-((1+$A342)/(1+'Table G'!$B$18))))+('Table G'!$B$14+'Table G'!$B$15)*(1+$A342)^(10-1)*(1+'Table G'!$B$27)/(('Table G'!$B$18-'Table G'!$B$27)*(1+'Table G'!$B$18)^10),"")</f>
        <v>360765.48191921168</v>
      </c>
    </row>
    <row r="343" spans="1:7" x14ac:dyDescent="0.2">
      <c r="A343" s="8">
        <f>-0.1+339*$B$2</f>
        <v>0.23900000000000002</v>
      </c>
      <c r="B343" s="17">
        <f>IFERROR(('Table G'!$B$14+'Table G'!$B$15)/(1+'Table G'!$B$18)*IF(ABS(((1+$A343)/(1+'Table G'!$B$18))-1)&lt;0.000000001,5,(1-((1+$A343)/(1+'Table G'!$B$18))^5)/(1-((1+$A343)/(1+'Table G'!$B$18))))+('Table G'!$B$14+'Table G'!$B$15)*(1+$A343)^(5-1)*(1+'Table G'!$B$25)/(('Table G'!$B$18-'Table G'!$B$25)*(1+'Table G'!$B$18)^5),"")</f>
        <v>146381.72423461609</v>
      </c>
      <c r="C343" s="17">
        <f>IFERROR(('Table G'!$B$14+'Table G'!$B$15)/(1+'Table G'!$B$18)*IF(ABS(((1+$A343)/(1+'Table G'!$B$18))-1)&lt;0.000000001,10,(1-((1+$A343)/(1+'Table G'!$B$18))^10)/(1-((1+$A343)/(1+'Table G'!$B$18))))+('Table G'!$B$14+'Table G'!$B$15)*(1+$A343)^(10-1)*(1+'Table G'!$B$25)/(('Table G'!$B$18-'Table G'!$B$25)*(1+'Table G'!$B$18)^10),"")</f>
        <v>320302.68210842006</v>
      </c>
      <c r="D343" s="17">
        <f>IFERROR(('Table G'!$B$14+'Table G'!$B$15)/(1+'Table G'!$B$18)*IF(ABS(((1+$A343)/(1+'Table G'!$B$18))-1)&lt;0.000000001,5,(1-((1+$A343)/(1+'Table G'!$B$18))^5)/(1-((1+$A343)/(1+'Table G'!$B$18))))+('Table G'!$B$14+'Table G'!$B$15)*(1+$A343)^(5-1)*(1+'Table G'!$B$26)/(('Table G'!$B$18-'Table G'!$B$26)*(1+'Table G'!$B$18)^5),"")</f>
        <v>156319.83034782638</v>
      </c>
      <c r="E343" s="17">
        <f>IFERROR(('Table G'!$B$14+'Table G'!$B$15)/(1+'Table G'!$B$18)*IF(ABS(((1+$A343)/(1+'Table G'!$B$18))-1)&lt;0.000000001,10,(1-((1+$A343)/(1+'Table G'!$B$18))^10)/(1-((1+$A343)/(1+'Table G'!$B$18))))+('Table G'!$B$14+'Table G'!$B$15)*(1+$A343)^(10-1)*(1+'Table G'!$B$26)/(('Table G'!$B$18-'Table G'!$B$26)*(1+'Table G'!$B$18)^10),"")</f>
        <v>340010.92098923906</v>
      </c>
      <c r="F343" s="17">
        <f>IFERROR(('Table G'!$B$14+'Table G'!$B$15)/(1+'Table G'!$B$18)*IF(ABS(((1+$A343)/(1+'Table G'!$B$18))-1)&lt;0.000000001,5,(1-((1+$A343)/(1+'Table G'!$B$18))^5)/(1-((1+$A343)/(1+'Table G'!$B$18))))+('Table G'!$B$14+'Table G'!$B$15)*(1+$A343)^(5-1)*(1+'Table G'!$B$27)/(('Table G'!$B$18-'Table G'!$B$27)*(1+'Table G'!$B$18)^5),"")</f>
        <v>167987.97217578156</v>
      </c>
      <c r="G343" s="17">
        <f>IFERROR(('Table G'!$B$14+'Table G'!$B$15)/(1+'Table G'!$B$18)*IF(ABS(((1+$A343)/(1+'Table G'!$B$18))-1)&lt;0.000000001,10,(1-((1+$A343)/(1+'Table G'!$B$18))^10)/(1-((1+$A343)/(1+'Table G'!$B$18))))+('Table G'!$B$14+'Table G'!$B$15)*(1+$A343)^(10-1)*(1+'Table G'!$B$27)/(('Table G'!$B$18-'Table G'!$B$27)*(1+'Table G'!$B$18)^10),"")</f>
        <v>363149.99032710248</v>
      </c>
    </row>
    <row r="344" spans="1:7" x14ac:dyDescent="0.2">
      <c r="A344" s="8">
        <f>-0.1+340*$B$2</f>
        <v>0.24000000000000002</v>
      </c>
      <c r="B344" s="17">
        <f>IFERROR(('Table G'!$B$14+'Table G'!$B$15)/(1+'Table G'!$B$18)*IF(ABS(((1+$A344)/(1+'Table G'!$B$18))-1)&lt;0.000000001,5,(1-((1+$A344)/(1+'Table G'!$B$18))^5)/(1-((1+$A344)/(1+'Table G'!$B$18))))+('Table G'!$B$14+'Table G'!$B$15)*(1+$A344)^(5-1)*(1+'Table G'!$B$25)/(('Table G'!$B$18-'Table G'!$B$25)*(1+'Table G'!$B$18)^5),"")</f>
        <v>146812.93987852192</v>
      </c>
      <c r="C344" s="17">
        <f>IFERROR(('Table G'!$B$14+'Table G'!$B$15)/(1+'Table G'!$B$18)*IF(ABS(((1+$A344)/(1+'Table G'!$B$18))-1)&lt;0.000000001,10,(1-((1+$A344)/(1+'Table G'!$B$18))^10)/(1-((1+$A344)/(1+'Table G'!$B$18))))+('Table G'!$B$14+'Table G'!$B$15)*(1+$A344)^(10-1)*(1+'Table G'!$B$25)/(('Table G'!$B$18-'Table G'!$B$25)*(1+'Table G'!$B$18)^10),"")</f>
        <v>322389.71600665024</v>
      </c>
      <c r="D344" s="17">
        <f>IFERROR(('Table G'!$B$14+'Table G'!$B$15)/(1+'Table G'!$B$18)*IF(ABS(((1+$A344)/(1+'Table G'!$B$18))-1)&lt;0.000000001,5,(1-((1+$A344)/(1+'Table G'!$B$18))^5)/(1-((1+$A344)/(1+'Table G'!$B$18))))+('Table G'!$B$14+'Table G'!$B$15)*(1+$A344)^(5-1)*(1+'Table G'!$B$26)/(('Table G'!$B$18-'Table G'!$B$26)*(1+'Table G'!$B$18)^5),"")</f>
        <v>156783.16913682924</v>
      </c>
      <c r="E344" s="17">
        <f>IFERROR(('Table G'!$B$14+'Table G'!$B$15)/(1+'Table G'!$B$18)*IF(ABS(((1+$A344)/(1+'Table G'!$B$18))-1)&lt;0.000000001,10,(1-((1+$A344)/(1+'Table G'!$B$18))^10)/(1-((1+$A344)/(1+'Table G'!$B$18))))+('Table G'!$B$14+'Table G'!$B$15)*(1+$A344)^(10-1)*(1+'Table G'!$B$26)/(('Table G'!$B$18-'Table G'!$B$26)*(1+'Table G'!$B$18)^10),"")</f>
        <v>342241.57705544843</v>
      </c>
      <c r="F344" s="17">
        <f>IFERROR(('Table G'!$B$14+'Table G'!$B$15)/(1+'Table G'!$B$18)*IF(ABS(((1+$A344)/(1+'Table G'!$B$18))-1)&lt;0.000000001,5,(1-((1+$A344)/(1+'Table G'!$B$18))^5)/(1-((1+$A344)/(1+'Table G'!$B$18))))+('Table G'!$B$14+'Table G'!$B$15)*(1+$A344)^(5-1)*(1+'Table G'!$B$27)/(('Table G'!$B$18-'Table G'!$B$27)*(1+'Table G'!$B$18)^5),"")</f>
        <v>168489.02613995786</v>
      </c>
      <c r="G344" s="17">
        <f>IFERROR(('Table G'!$B$14+'Table G'!$B$15)/(1+'Table G'!$B$18)*IF(ABS(((1+$A344)/(1+'Table G'!$B$18))-1)&lt;0.000000001,10,(1-((1+$A344)/(1+'Table G'!$B$18))^10)/(1-((1+$A344)/(1+'Table G'!$B$18))))+('Table G'!$B$14+'Table G'!$B$15)*(1+$A344)^(10-1)*(1+'Table G'!$B$27)/(('Table G'!$B$18-'Table G'!$B$27)*(1+'Table G'!$B$18)^10),"")</f>
        <v>365549.27045573684</v>
      </c>
    </row>
    <row r="345" spans="1:7" x14ac:dyDescent="0.2">
      <c r="A345" s="8">
        <f>-0.1+341*$B$2</f>
        <v>0.24100000000000002</v>
      </c>
      <c r="B345" s="17">
        <f>IFERROR(('Table G'!$B$14+'Table G'!$B$15)/(1+'Table G'!$B$18)*IF(ABS(((1+$A345)/(1+'Table G'!$B$18))-1)&lt;0.000000001,5,(1-((1+$A345)/(1+'Table G'!$B$18))^5)/(1-((1+$A345)/(1+'Table G'!$B$18))))+('Table G'!$B$14+'Table G'!$B$15)*(1+$A345)^(5-1)*(1+'Table G'!$B$25)/(('Table G'!$B$18-'Table G'!$B$25)*(1+'Table G'!$B$18)^5),"")</f>
        <v>147245.1614047226</v>
      </c>
      <c r="C345" s="17">
        <f>IFERROR(('Table G'!$B$14+'Table G'!$B$15)/(1+'Table G'!$B$18)*IF(ABS(((1+$A345)/(1+'Table G'!$B$18))-1)&lt;0.000000001,10,(1-((1+$A345)/(1+'Table G'!$B$18))^10)/(1-((1+$A345)/(1+'Table G'!$B$18))))+('Table G'!$B$14+'Table G'!$B$15)*(1+$A345)^(10-1)*(1+'Table G'!$B$25)/(('Table G'!$B$18-'Table G'!$B$25)*(1+'Table G'!$B$18)^10),"")</f>
        <v>324489.58208976954</v>
      </c>
      <c r="D345" s="17">
        <f>IFERROR(('Table G'!$B$14+'Table G'!$B$15)/(1+'Table G'!$B$18)*IF(ABS(((1+$A345)/(1+'Table G'!$B$18))-1)&lt;0.000000001,5,(1-((1+$A345)/(1+'Table G'!$B$18))^5)/(1-((1+$A345)/(1+'Table G'!$B$18))))+('Table G'!$B$14+'Table G'!$B$15)*(1+$A345)^(5-1)*(1+'Table G'!$B$26)/(('Table G'!$B$18-'Table G'!$B$26)*(1+'Table G'!$B$18)^5),"")</f>
        <v>157247.59161949798</v>
      </c>
      <c r="E345" s="17">
        <f>IFERROR(('Table G'!$B$14+'Table G'!$B$15)/(1+'Table G'!$B$18)*IF(ABS(((1+$A345)/(1+'Table G'!$B$18))-1)&lt;0.000000001,10,(1-((1+$A345)/(1+'Table G'!$B$18))^10)/(1-((1+$A345)/(1+'Table G'!$B$18))))+('Table G'!$B$14+'Table G'!$B$15)*(1+$A345)^(10-1)*(1+'Table G'!$B$26)/(('Table G'!$B$18-'Table G'!$B$26)*(1+'Table G'!$B$18)^10),"")</f>
        <v>344485.99489632924</v>
      </c>
      <c r="F345" s="17">
        <f>IFERROR(('Table G'!$B$14+'Table G'!$B$15)/(1+'Table G'!$B$18)*IF(ABS(((1+$A345)/(1+'Table G'!$B$18))-1)&lt;0.000000001,5,(1-((1+$A345)/(1+'Table G'!$B$18))^5)/(1-((1+$A345)/(1+'Table G'!$B$18))))+('Table G'!$B$14+'Table G'!$B$15)*(1+$A345)^(5-1)*(1+'Table G'!$B$27)/(('Table G'!$B$18-'Table G'!$B$27)*(1+'Table G'!$B$18)^5),"")</f>
        <v>168991.25515465438</v>
      </c>
      <c r="G345" s="17">
        <f>IFERROR(('Table G'!$B$14+'Table G'!$B$15)/(1+'Table G'!$B$18)*IF(ABS(((1+$A345)/(1+'Table G'!$B$18))-1)&lt;0.000000001,10,(1-((1+$A345)/(1+'Table G'!$B$18))^10)/(1-((1+$A345)/(1+'Table G'!$B$18))))+('Table G'!$B$14+'Table G'!$B$15)*(1+$A345)^(10-1)*(1+'Table G'!$B$27)/(('Table G'!$B$18-'Table G'!$B$27)*(1+'Table G'!$B$18)^10),"")</f>
        <v>367963.40377276833</v>
      </c>
    </row>
    <row r="346" spans="1:7" x14ac:dyDescent="0.2">
      <c r="A346" s="8">
        <f>-0.1+342*$B$2</f>
        <v>0.24200000000000002</v>
      </c>
      <c r="B346" s="17">
        <f>IFERROR(('Table G'!$B$14+'Table G'!$B$15)/(1+'Table G'!$B$18)*IF(ABS(((1+$A346)/(1+'Table G'!$B$18))-1)&lt;0.000000001,5,(1-((1+$A346)/(1+'Table G'!$B$18))^5)/(1-((1+$A346)/(1+'Table G'!$B$18))))+('Table G'!$B$14+'Table G'!$B$15)*(1+$A346)^(5-1)*(1+'Table G'!$B$25)/(('Table G'!$B$18-'Table G'!$B$25)*(1+'Table G'!$B$18)^5),"")</f>
        <v>147678.39040254752</v>
      </c>
      <c r="C346" s="17">
        <f>IFERROR(('Table G'!$B$14+'Table G'!$B$15)/(1+'Table G'!$B$18)*IF(ABS(((1+$A346)/(1+'Table G'!$B$18))-1)&lt;0.000000001,10,(1-((1+$A346)/(1+'Table G'!$B$18))^10)/(1-((1+$A346)/(1+'Table G'!$B$18))))+('Table G'!$B$14+'Table G'!$B$15)*(1+$A346)^(10-1)*(1+'Table G'!$B$25)/(('Table G'!$B$18-'Table G'!$B$25)*(1+'Table G'!$B$18)^10),"")</f>
        <v>326602.35077707795</v>
      </c>
      <c r="D346" s="17">
        <f>IFERROR(('Table G'!$B$14+'Table G'!$B$15)/(1+'Table G'!$B$18)*IF(ABS(((1+$A346)/(1+'Table G'!$B$18))-1)&lt;0.000000001,5,(1-((1+$A346)/(1+'Table G'!$B$18))^5)/(1-((1+$A346)/(1+'Table G'!$B$18))))+('Table G'!$B$14+'Table G'!$B$15)*(1+$A346)^(5-1)*(1+'Table G'!$B$26)/(('Table G'!$B$18-'Table G'!$B$26)*(1+'Table G'!$B$18)^5),"")</f>
        <v>157713.09951071473</v>
      </c>
      <c r="E346" s="17">
        <f>IFERROR(('Table G'!$B$14+'Table G'!$B$15)/(1+'Table G'!$B$18)*IF(ABS(((1+$A346)/(1+'Table G'!$B$18))-1)&lt;0.000000001,10,(1-((1+$A346)/(1+'Table G'!$B$18))^10)/(1-((1+$A346)/(1+'Table G'!$B$18))))+('Table G'!$B$14+'Table G'!$B$15)*(1+$A346)^(10-1)*(1+'Table G'!$B$26)/(('Table G'!$B$18-'Table G'!$B$26)*(1+'Table G'!$B$18)^10),"")</f>
        <v>346744.25019157509</v>
      </c>
      <c r="F346" s="17">
        <f>IFERROR(('Table G'!$B$14+'Table G'!$B$15)/(1+'Table G'!$B$18)*IF(ABS(((1+$A346)/(1+'Table G'!$B$18))-1)&lt;0.000000001,5,(1-((1+$A346)/(1+'Table G'!$B$18))^5)/(1-((1+$A346)/(1+'Table G'!$B$18))))+('Table G'!$B$14+'Table G'!$B$15)*(1+$A346)^(5-1)*(1+'Table G'!$B$27)/(('Table G'!$B$18-'Table G'!$B$27)*(1+'Table G'!$B$18)^5),"")</f>
        <v>169494.66108216255</v>
      </c>
      <c r="G346" s="17">
        <f>IFERROR(('Table G'!$B$14+'Table G'!$B$15)/(1+'Table G'!$B$18)*IF(ABS(((1+$A346)/(1+'Table G'!$B$18))-1)&lt;0.000000001,10,(1-((1+$A346)/(1+'Table G'!$B$18))^10)/(1-((1+$A346)/(1+'Table G'!$B$18))))+('Table G'!$B$14+'Table G'!$B$15)*(1+$A346)^(10-1)*(1+'Table G'!$B$27)/(('Table G'!$B$18-'Table G'!$B$27)*(1+'Table G'!$B$18)^10),"")</f>
        <v>370392.47213401936</v>
      </c>
    </row>
    <row r="347" spans="1:7" x14ac:dyDescent="0.2">
      <c r="A347" s="8">
        <f>-0.1+343*$B$2</f>
        <v>0.24300000000000002</v>
      </c>
      <c r="B347" s="17">
        <f>IFERROR(('Table G'!$B$14+'Table G'!$B$15)/(1+'Table G'!$B$18)*IF(ABS(((1+$A347)/(1+'Table G'!$B$18))-1)&lt;0.000000001,5,(1-((1+$A347)/(1+'Table G'!$B$18))^5)/(1-((1+$A347)/(1+'Table G'!$B$18))))+('Table G'!$B$14+'Table G'!$B$15)*(1+$A347)^(5-1)*(1+'Table G'!$B$25)/(('Table G'!$B$18-'Table G'!$B$25)*(1+'Table G'!$B$18)^5),"")</f>
        <v>148112.62846259054</v>
      </c>
      <c r="C347" s="17">
        <f>IFERROR(('Table G'!$B$14+'Table G'!$B$15)/(1+'Table G'!$B$18)*IF(ABS(((1+$A347)/(1+'Table G'!$B$18))-1)&lt;0.000000001,10,(1-((1+$A347)/(1+'Table G'!$B$18))^10)/(1-((1+$A347)/(1+'Table G'!$B$18))))+('Table G'!$B$14+'Table G'!$B$15)*(1+$A347)^(10-1)*(1+'Table G'!$B$25)/(('Table G'!$B$18-'Table G'!$B$25)*(1+'Table G'!$B$18)^10),"")</f>
        <v>328728.09282216796</v>
      </c>
      <c r="D347" s="17">
        <f>IFERROR(('Table G'!$B$14+'Table G'!$B$15)/(1+'Table G'!$B$18)*IF(ABS(((1+$A347)/(1+'Table G'!$B$18))-1)&lt;0.000000001,5,(1-((1+$A347)/(1+'Table G'!$B$18))^5)/(1-((1+$A347)/(1+'Table G'!$B$18))))+('Table G'!$B$14+'Table G'!$B$15)*(1+$A347)^(5-1)*(1+'Table G'!$B$26)/(('Table G'!$B$18-'Table G'!$B$26)*(1+'Table G'!$B$18)^5),"")</f>
        <v>158179.69452672749</v>
      </c>
      <c r="E347" s="17">
        <f>IFERROR(('Table G'!$B$14+'Table G'!$B$15)/(1+'Table G'!$B$18)*IF(ABS(((1+$A347)/(1+'Table G'!$B$18))-1)&lt;0.000000001,10,(1-((1+$A347)/(1+'Table G'!$B$18))^10)/(1-((1+$A347)/(1+'Table G'!$B$18))))+('Table G'!$B$14+'Table G'!$B$15)*(1+$A347)^(10-1)*(1+'Table G'!$B$26)/(('Table G'!$B$18-'Table G'!$B$26)*(1+'Table G'!$B$18)^10),"")</f>
        <v>349016.41898066719</v>
      </c>
      <c r="F347" s="17">
        <f>IFERROR(('Table G'!$B$14+'Table G'!$B$15)/(1+'Table G'!$B$18)*IF(ABS(((1+$A347)/(1+'Table G'!$B$18))-1)&lt;0.000000001,5,(1-((1+$A347)/(1+'Table G'!$B$18))^5)/(1-((1+$A347)/(1+'Table G'!$B$18))))+('Table G'!$B$14+'Table G'!$B$15)*(1+$A347)^(5-1)*(1+'Table G'!$B$27)/(('Table G'!$B$18-'Table G'!$B$27)*(1+'Table G'!$B$18)^5),"")</f>
        <v>169999.24578625814</v>
      </c>
      <c r="G347" s="17">
        <f>IFERROR(('Table G'!$B$14+'Table G'!$B$15)/(1+'Table G'!$B$18)*IF(ABS(((1+$A347)/(1+'Table G'!$B$18))-1)&lt;0.000000001,10,(1-((1+$A347)/(1+'Table G'!$B$18))^10)/(1-((1+$A347)/(1+'Table G'!$B$18))))+('Table G'!$B$14+'Table G'!$B$15)*(1+$A347)^(10-1)*(1+'Table G'!$B$27)/(('Table G'!$B$18-'Table G'!$B$27)*(1+'Table G'!$B$18)^10),"")</f>
        <v>372836.55778503255</v>
      </c>
    </row>
    <row r="348" spans="1:7" x14ac:dyDescent="0.2">
      <c r="A348" s="8">
        <f>-0.1+344*$B$2</f>
        <v>0.24400000000000002</v>
      </c>
      <c r="B348" s="17">
        <f>IFERROR(('Table G'!$B$14+'Table G'!$B$15)/(1+'Table G'!$B$18)*IF(ABS(((1+$A348)/(1+'Table G'!$B$18))-1)&lt;0.000000001,5,(1-((1+$A348)/(1+'Table G'!$B$18))^5)/(1-((1+$A348)/(1+'Table G'!$B$18))))+('Table G'!$B$14+'Table G'!$B$15)*(1+$A348)^(5-1)*(1+'Table G'!$B$25)/(('Table G'!$B$18-'Table G'!$B$25)*(1+'Table G'!$B$18)^5),"")</f>
        <v>148547.87717670898</v>
      </c>
      <c r="C348" s="17">
        <f>IFERROR(('Table G'!$B$14+'Table G'!$B$15)/(1+'Table G'!$B$18)*IF(ABS(((1+$A348)/(1+'Table G'!$B$18))-1)&lt;0.000000001,10,(1-((1+$A348)/(1+'Table G'!$B$18))^10)/(1-((1+$A348)/(1+'Table G'!$B$18))))+('Table G'!$B$14+'Table G'!$B$15)*(1+$A348)^(10-1)*(1+'Table G'!$B$25)/(('Table G'!$B$18-'Table G'!$B$25)*(1+'Table G'!$B$18)^10),"")</f>
        <v>330866.87931424956</v>
      </c>
      <c r="D348" s="17">
        <f>IFERROR(('Table G'!$B$14+'Table G'!$B$15)/(1+'Table G'!$B$18)*IF(ABS(((1+$A348)/(1+'Table G'!$B$18))-1)&lt;0.000000001,5,(1-((1+$A348)/(1+'Table G'!$B$18))^5)/(1-((1+$A348)/(1+'Table G'!$B$18))))+('Table G'!$B$14+'Table G'!$B$15)*(1+$A348)^(5-1)*(1+'Table G'!$B$26)/(('Table G'!$B$18-'Table G'!$B$26)*(1+'Table G'!$B$18)^5),"")</f>
        <v>158647.37838514865</v>
      </c>
      <c r="E348" s="17">
        <f>IFERROR(('Table G'!$B$14+'Table G'!$B$15)/(1+'Table G'!$B$18)*IF(ABS(((1+$A348)/(1+'Table G'!$B$18))-1)&lt;0.000000001,10,(1-((1+$A348)/(1+'Table G'!$B$18))^10)/(1-((1+$A348)/(1+'Table G'!$B$18))))+('Table G'!$B$14+'Table G'!$B$15)*(1+$A348)^(10-1)*(1+'Table G'!$B$26)/(('Table G'!$B$18-'Table G'!$B$26)*(1+'Table G'!$B$18)^10),"")</f>
        <v>351302.57766430132</v>
      </c>
      <c r="F348" s="17">
        <f>IFERROR(('Table G'!$B$14+'Table G'!$B$15)/(1+'Table G'!$B$18)*IF(ABS(((1+$A348)/(1+'Table G'!$B$18))-1)&lt;0.000000001,5,(1-((1+$A348)/(1+'Table G'!$B$18))^5)/(1-((1+$A348)/(1+'Table G'!$B$18))))+('Table G'!$B$14+'Table G'!$B$15)*(1+$A348)^(5-1)*(1+'Table G'!$B$27)/(('Table G'!$B$18-'Table G'!$B$27)*(1+'Table G'!$B$18)^5),"")</f>
        <v>170505.01113220054</v>
      </c>
      <c r="G348" s="17">
        <f>IFERROR(('Table G'!$B$14+'Table G'!$B$15)/(1+'Table G'!$B$18)*IF(ABS(((1+$A348)/(1+'Table G'!$B$18))-1)&lt;0.000000001,10,(1-((1+$A348)/(1+'Table G'!$B$18))^10)/(1-((1+$A348)/(1+'Table G'!$B$18))))+('Table G'!$B$14+'Table G'!$B$15)*(1+$A348)^(10-1)*(1+'Table G'!$B$27)/(('Table G'!$B$18-'Table G'!$B$27)*(1+'Table G'!$B$18)^10),"")</f>
        <v>375295.74336261849</v>
      </c>
    </row>
    <row r="349" spans="1:7" x14ac:dyDescent="0.2">
      <c r="A349" s="8">
        <f>-0.1+345*$B$2</f>
        <v>0.24500000000000002</v>
      </c>
      <c r="B349" s="17">
        <f>IFERROR(('Table G'!$B$14+'Table G'!$B$15)/(1+'Table G'!$B$18)*IF(ABS(((1+$A349)/(1+'Table G'!$B$18))-1)&lt;0.000000001,5,(1-((1+$A349)/(1+'Table G'!$B$18))^5)/(1-((1+$A349)/(1+'Table G'!$B$18))))+('Table G'!$B$14+'Table G'!$B$15)*(1+$A349)^(5-1)*(1+'Table G'!$B$25)/(('Table G'!$B$18-'Table G'!$B$25)*(1+'Table G'!$B$18)^5),"")</f>
        <v>148984.13813802472</v>
      </c>
      <c r="C349" s="17">
        <f>IFERROR(('Table G'!$B$14+'Table G'!$B$15)/(1+'Table G'!$B$18)*IF(ABS(((1+$A349)/(1+'Table G'!$B$18))-1)&lt;0.000000001,10,(1-((1+$A349)/(1+'Table G'!$B$18))^10)/(1-((1+$A349)/(1+'Table G'!$B$18))))+('Table G'!$B$14+'Table G'!$B$15)*(1+$A349)^(10-1)*(1+'Table G'!$B$25)/(('Table G'!$B$18-'Table G'!$B$25)*(1+'Table G'!$B$18)^10),"")</f>
        <v>333018.78167948825</v>
      </c>
      <c r="D349" s="17">
        <f>IFERROR(('Table G'!$B$14+'Table G'!$B$15)/(1+'Table G'!$B$18)*IF(ABS(((1+$A349)/(1+'Table G'!$B$18))-1)&lt;0.000000001,5,(1-((1+$A349)/(1+'Table G'!$B$18))^5)/(1-((1+$A349)/(1+'Table G'!$B$18))))+('Table G'!$B$14+'Table G'!$B$15)*(1+$A349)^(5-1)*(1+'Table G'!$B$26)/(('Table G'!$B$18-'Table G'!$B$26)*(1+'Table G'!$B$18)^5),"")</f>
        <v>159116.15280495666</v>
      </c>
      <c r="E349" s="17">
        <f>IFERROR(('Table G'!$B$14+'Table G'!$B$15)/(1+'Table G'!$B$18)*IF(ABS(((1+$A349)/(1+'Table G'!$B$18))-1)&lt;0.000000001,10,(1-((1+$A349)/(1+'Table G'!$B$18))^10)/(1-((1+$A349)/(1+'Table G'!$B$18))))+('Table G'!$B$14+'Table G'!$B$15)*(1+$A349)^(10-1)*(1+'Table G'!$B$26)/(('Table G'!$B$18-'Table G'!$B$26)*(1+'Table G'!$B$18)^10),"")</f>
        <v>353602.80300582969</v>
      </c>
      <c r="F349" s="17">
        <f>IFERROR(('Table G'!$B$14+'Table G'!$B$15)/(1+'Table G'!$B$18)*IF(ABS(((1+$A349)/(1+'Table G'!$B$18))-1)&lt;0.000000001,5,(1-((1+$A349)/(1+'Table G'!$B$18))^5)/(1-((1+$A349)/(1+'Table G'!$B$18))))+('Table G'!$B$14+'Table G'!$B$15)*(1+$A349)^(5-1)*(1+'Table G'!$B$27)/(('Table G'!$B$18-'Table G'!$B$27)*(1+'Table G'!$B$18)^5),"")</f>
        <v>171011.95898673372</v>
      </c>
      <c r="G349" s="17">
        <f>IFERROR(('Table G'!$B$14+'Table G'!$B$15)/(1+'Table G'!$B$18)*IF(ABS(((1+$A349)/(1+'Table G'!$B$18))-1)&lt;0.000000001,10,(1-((1+$A349)/(1+'Table G'!$B$18))^10)/(1-((1+$A349)/(1+'Table G'!$B$18))))+('Table G'!$B$14+'Table G'!$B$15)*(1+$A349)^(10-1)*(1+'Table G'!$B$27)/(('Table G'!$B$18-'Table G'!$B$27)*(1+'Table G'!$B$18)^10),"")</f>
        <v>377770.11189641891</v>
      </c>
    </row>
    <row r="350" spans="1:7" x14ac:dyDescent="0.2">
      <c r="A350" s="8">
        <f>-0.1+346*$B$2</f>
        <v>0.24600000000000002</v>
      </c>
      <c r="B350" s="17">
        <f>IFERROR(('Table G'!$B$14+'Table G'!$B$15)/(1+'Table G'!$B$18)*IF(ABS(((1+$A350)/(1+'Table G'!$B$18))-1)&lt;0.000000001,5,(1-((1+$A350)/(1+'Table G'!$B$18))^5)/(1-((1+$A350)/(1+'Table G'!$B$18))))+('Table G'!$B$14+'Table G'!$B$15)*(1+$A350)^(5-1)*(1+'Table G'!$B$25)/(('Table G'!$B$18-'Table G'!$B$25)*(1+'Table G'!$B$18)^5),"")</f>
        <v>149421.41294092321</v>
      </c>
      <c r="C350" s="17">
        <f>IFERROR(('Table G'!$B$14+'Table G'!$B$15)/(1+'Table G'!$B$18)*IF(ABS(((1+$A350)/(1+'Table G'!$B$18))-1)&lt;0.000000001,10,(1-((1+$A350)/(1+'Table G'!$B$18))^10)/(1-((1+$A350)/(1+'Table G'!$B$18))))+('Table G'!$B$14+'Table G'!$B$15)*(1+$A350)^(10-1)*(1+'Table G'!$B$25)/(('Table G'!$B$18-'Table G'!$B$25)*(1+'Table G'!$B$18)^10),"")</f>
        <v>335183.87168233749</v>
      </c>
      <c r="D350" s="17">
        <f>IFERROR(('Table G'!$B$14+'Table G'!$B$15)/(1+'Table G'!$B$18)*IF(ABS(((1+$A350)/(1+'Table G'!$B$18))-1)&lt;0.000000001,5,(1-((1+$A350)/(1+'Table G'!$B$18))^5)/(1-((1+$A350)/(1+'Table G'!$B$18))))+('Table G'!$B$14+'Table G'!$B$15)*(1+$A350)^(5-1)*(1+'Table G'!$B$26)/(('Table G'!$B$18-'Table G'!$B$26)*(1+'Table G'!$B$18)^5),"")</f>
        <v>159586.01950649451</v>
      </c>
      <c r="E350" s="17">
        <f>IFERROR(('Table G'!$B$14+'Table G'!$B$15)/(1+'Table G'!$B$18)*IF(ABS(((1+$A350)/(1+'Table G'!$B$18))-1)&lt;0.000000001,10,(1-((1+$A350)/(1+'Table G'!$B$18))^10)/(1-((1+$A350)/(1+'Table G'!$B$18))))+('Table G'!$B$14+'Table G'!$B$15)*(1+$A350)^(10-1)*(1+'Table G'!$B$26)/(('Table G'!$B$18-'Table G'!$B$26)*(1+'Table G'!$B$18)^10),"")</f>
        <v>355917.17213269661</v>
      </c>
      <c r="F350" s="17">
        <f>IFERROR(('Table G'!$B$14+'Table G'!$B$15)/(1+'Table G'!$B$18)*IF(ABS(((1+$A350)/(1+'Table G'!$B$18))-1)&lt;0.000000001,5,(1-((1+$A350)/(1+'Table G'!$B$18))^5)/(1-((1+$A350)/(1+'Table G'!$B$18))))+('Table G'!$B$14+'Table G'!$B$15)*(1+$A350)^(5-1)*(1+'Table G'!$B$27)/(('Table G'!$B$18-'Table G'!$B$27)*(1+'Table G'!$B$18)^5),"")</f>
        <v>171520.09121808529</v>
      </c>
      <c r="G350" s="17">
        <f>IFERROR(('Table G'!$B$14+'Table G'!$B$15)/(1+'Table G'!$B$18)*IF(ABS(((1+$A350)/(1+'Table G'!$B$18))-1)&lt;0.000000001,10,(1-((1+$A350)/(1+'Table G'!$B$18))^10)/(1-((1+$A350)/(1+'Table G'!$B$18))))+('Table G'!$B$14+'Table G'!$B$15)*(1+$A350)^(10-1)*(1+'Table G'!$B$27)/(('Table G'!$B$18-'Table G'!$B$27)*(1+'Table G'!$B$18)^10),"")</f>
        <v>380259.74681046384</v>
      </c>
    </row>
    <row r="351" spans="1:7" x14ac:dyDescent="0.2">
      <c r="A351" s="8">
        <f>-0.1+347*$B$2</f>
        <v>0.24700000000000003</v>
      </c>
      <c r="B351" s="17">
        <f>IFERROR(('Table G'!$B$14+'Table G'!$B$15)/(1+'Table G'!$B$18)*IF(ABS(((1+$A351)/(1+'Table G'!$B$18))-1)&lt;0.000000001,5,(1-((1+$A351)/(1+'Table G'!$B$18))^5)/(1-((1+$A351)/(1+'Table G'!$B$18))))+('Table G'!$B$14+'Table G'!$B$15)*(1+$A351)^(5-1)*(1+'Table G'!$B$25)/(('Table G'!$B$18-'Table G'!$B$25)*(1+'Table G'!$B$18)^5),"")</f>
        <v>149859.70318105433</v>
      </c>
      <c r="C351" s="17">
        <f>IFERROR(('Table G'!$B$14+'Table G'!$B$15)/(1+'Table G'!$B$18)*IF(ABS(((1+$A351)/(1+'Table G'!$B$18))-1)&lt;0.000000001,10,(1-((1+$A351)/(1+'Table G'!$B$18))^10)/(1-((1+$A351)/(1+'Table G'!$B$18))))+('Table G'!$B$14+'Table G'!$B$15)*(1+$A351)^(10-1)*(1+'Table G'!$B$25)/(('Table G'!$B$18-'Table G'!$B$25)*(1+'Table G'!$B$18)^10),"")</f>
        <v>337362.22142688493</v>
      </c>
      <c r="D351" s="17">
        <f>IFERROR(('Table G'!$B$14+'Table G'!$B$15)/(1+'Table G'!$B$18)*IF(ABS(((1+$A351)/(1+'Table G'!$B$18))-1)&lt;0.000000001,5,(1-((1+$A351)/(1+'Table G'!$B$18))^5)/(1-((1+$A351)/(1+'Table G'!$B$18))))+('Table G'!$B$14+'Table G'!$B$15)*(1+$A351)^(5-1)*(1+'Table G'!$B$26)/(('Table G'!$B$18-'Table G'!$B$26)*(1+'Table G'!$B$18)^5),"")</f>
        <v>160056.98021147103</v>
      </c>
      <c r="E351" s="17">
        <f>IFERROR(('Table G'!$B$14+'Table G'!$B$15)/(1+'Table G'!$B$18)*IF(ABS(((1+$A351)/(1+'Table G'!$B$18))-1)&lt;0.000000001,10,(1-((1+$A351)/(1+'Table G'!$B$18))^10)/(1-((1+$A351)/(1+'Table G'!$B$18))))+('Table G'!$B$14+'Table G'!$B$15)*(1+$A351)^(10-1)*(1+'Table G'!$B$26)/(('Table G'!$B$18-'Table G'!$B$26)*(1+'Table G'!$B$18)^10),"")</f>
        <v>358245.76253788848</v>
      </c>
      <c r="F351" s="17">
        <f>IFERROR(('Table G'!$B$14+'Table G'!$B$15)/(1+'Table G'!$B$18)*IF(ABS(((1+$A351)/(1+'Table G'!$B$18))-1)&lt;0.000000001,5,(1-((1+$A351)/(1+'Table G'!$B$18))^5)/(1-((1+$A351)/(1+'Table G'!$B$18))))+('Table G'!$B$14+'Table G'!$B$15)*(1+$A351)^(5-1)*(1+'Table G'!$B$27)/(('Table G'!$B$18-'Table G'!$B$27)*(1+'Table G'!$B$18)^5),"")</f>
        <v>172029.40969596733</v>
      </c>
      <c r="G351" s="17">
        <f>IFERROR(('Table G'!$B$14+'Table G'!$B$15)/(1+'Table G'!$B$18)*IF(ABS(((1+$A351)/(1+'Table G'!$B$18))-1)&lt;0.000000001,10,(1-((1+$A351)/(1+'Table G'!$B$18))^10)/(1-((1+$A351)/(1+'Table G'!$B$18))))+('Table G'!$B$14+'Table G'!$B$15)*(1+$A351)^(10-1)*(1+'Table G'!$B$27)/(('Table G'!$B$18-'Table G'!$B$27)*(1+'Table G'!$B$18)^10),"")</f>
        <v>382764.73192474386</v>
      </c>
    </row>
    <row r="352" spans="1:7" x14ac:dyDescent="0.2">
      <c r="A352" s="8">
        <f>-0.1+348*$B$2</f>
        <v>0.24800000000000003</v>
      </c>
      <c r="B352" s="17">
        <f>IFERROR(('Table G'!$B$14+'Table G'!$B$15)/(1+'Table G'!$B$18)*IF(ABS(((1+$A352)/(1+'Table G'!$B$18))-1)&lt;0.000000001,5,(1-((1+$A352)/(1+'Table G'!$B$18))^5)/(1-((1+$A352)/(1+'Table G'!$B$18))))+('Table G'!$B$14+'Table G'!$B$15)*(1+$A352)^(5-1)*(1+'Table G'!$B$25)/(('Table G'!$B$18-'Table G'!$B$25)*(1+'Table G'!$B$18)^5),"")</f>
        <v>150299.01045533147</v>
      </c>
      <c r="C352" s="17">
        <f>IFERROR(('Table G'!$B$14+'Table G'!$B$15)/(1+'Table G'!$B$18)*IF(ABS(((1+$A352)/(1+'Table G'!$B$18))-1)&lt;0.000000001,10,(1-((1+$A352)/(1+'Table G'!$B$18))^10)/(1-((1+$A352)/(1+'Table G'!$B$18))))+('Table G'!$B$14+'Table G'!$B$15)*(1+$A352)^(10-1)*(1+'Table G'!$B$25)/(('Table G'!$B$18-'Table G'!$B$25)*(1+'Table G'!$B$18)^10),"")</f>
        <v>339553.90335819399</v>
      </c>
      <c r="D352" s="17">
        <f>IFERROR(('Table G'!$B$14+'Table G'!$B$15)/(1+'Table G'!$B$18)*IF(ABS(((1+$A352)/(1+'Table G'!$B$18))-1)&lt;0.000000001,5,(1-((1+$A352)/(1+'Table G'!$B$18))^5)/(1-((1+$A352)/(1+'Table G'!$B$18))))+('Table G'!$B$14+'Table G'!$B$15)*(1+$A352)^(5-1)*(1+'Table G'!$B$26)/(('Table G'!$B$18-'Table G'!$B$26)*(1+'Table G'!$B$18)^5),"")</f>
        <v>160529.03664295963</v>
      </c>
      <c r="E352" s="17">
        <f>IFERROR(('Table G'!$B$14+'Table G'!$B$15)/(1+'Table G'!$B$18)*IF(ABS(((1+$A352)/(1+'Table G'!$B$18))-1)&lt;0.000000001,10,(1-((1+$A352)/(1+'Table G'!$B$18))^10)/(1-((1+$A352)/(1+'Table G'!$B$18))))+('Table G'!$B$14+'Table G'!$B$15)*(1+$A352)^(10-1)*(1+'Table G'!$B$26)/(('Table G'!$B$18-'Table G'!$B$26)*(1+'Table G'!$B$18)^10),"")</f>
        <v>360588.65208138019</v>
      </c>
      <c r="F352" s="17">
        <f>IFERROR(('Table G'!$B$14+'Table G'!$B$15)/(1+'Table G'!$B$18)*IF(ABS(((1+$A352)/(1+'Table G'!$B$18))-1)&lt;0.000000001,5,(1-((1+$A352)/(1+'Table G'!$B$18))^5)/(1-((1+$A352)/(1+'Table G'!$B$18))))+('Table G'!$B$14+'Table G'!$B$15)*(1+$A352)^(5-1)*(1+'Table G'!$B$27)/(('Table G'!$B$18-'Table G'!$B$27)*(1+'Table G'!$B$18)^5),"")</f>
        <v>172539.91629157535</v>
      </c>
      <c r="G352" s="17">
        <f>IFERROR(('Table G'!$B$14+'Table G'!$B$15)/(1+'Table G'!$B$18)*IF(ABS(((1+$A352)/(1+'Table G'!$B$18))-1)&lt;0.000000001,10,(1-((1+$A352)/(1+'Table G'!$B$18))^10)/(1-((1+$A352)/(1+'Table G'!$B$18))))+('Table G'!$B$14+'Table G'!$B$15)*(1+$A352)^(10-1)*(1+'Table G'!$B$27)/(('Table G'!$B$18-'Table G'!$B$27)*(1+'Table G'!$B$18)^10),"")</f>
        <v>385285.15145677805</v>
      </c>
    </row>
    <row r="353" spans="1:7" x14ac:dyDescent="0.2">
      <c r="A353" s="8">
        <f>-0.1+349*$B$2</f>
        <v>0.24900000000000003</v>
      </c>
      <c r="B353" s="17">
        <f>IFERROR(('Table G'!$B$14+'Table G'!$B$15)/(1+'Table G'!$B$18)*IF(ABS(((1+$A353)/(1+'Table G'!$B$18))-1)&lt;0.000000001,5,(1-((1+$A353)/(1+'Table G'!$B$18))^5)/(1-((1+$A353)/(1+'Table G'!$B$18))))+('Table G'!$B$14+'Table G'!$B$15)*(1+$A353)^(5-1)*(1+'Table G'!$B$25)/(('Table G'!$B$18-'Table G'!$B$25)*(1+'Table G'!$B$18)^5),"")</f>
        <v>150739.33636193263</v>
      </c>
      <c r="C353" s="17">
        <f>IFERROR(('Table G'!$B$14+'Table G'!$B$15)/(1+'Table G'!$B$18)*IF(ABS(((1+$A353)/(1+'Table G'!$B$18))-1)&lt;0.000000001,10,(1-((1+$A353)/(1+'Table G'!$B$18))^10)/(1-((1+$A353)/(1+'Table G'!$B$18))))+('Table G'!$B$14+'Table G'!$B$15)*(1+$A353)^(10-1)*(1+'Table G'!$B$25)/(('Table G'!$B$18-'Table G'!$B$25)*(1+'Table G'!$B$18)^10),"")</f>
        <v>341758.99026365846</v>
      </c>
      <c r="D353" s="17">
        <f>IFERROR(('Table G'!$B$14+'Table G'!$B$15)/(1+'Table G'!$B$18)*IF(ABS(((1+$A353)/(1+'Table G'!$B$18))-1)&lt;0.000000001,5,(1-((1+$A353)/(1+'Table G'!$B$18))^5)/(1-((1+$A353)/(1+'Table G'!$B$18))))+('Table G'!$B$14+'Table G'!$B$15)*(1+$A353)^(5-1)*(1+'Table G'!$B$26)/(('Table G'!$B$18-'Table G'!$B$26)*(1+'Table G'!$B$18)^5),"")</f>
        <v>161002.19052539961</v>
      </c>
      <c r="E353" s="17">
        <f>IFERROR(('Table G'!$B$14+'Table G'!$B$15)/(1+'Table G'!$B$18)*IF(ABS(((1+$A353)/(1+'Table G'!$B$18))-1)&lt;0.000000001,10,(1-((1+$A353)/(1+'Table G'!$B$18))^10)/(1-((1+$A353)/(1+'Table G'!$B$18))))+('Table G'!$B$14+'Table G'!$B$15)*(1+$A353)^(10-1)*(1+'Table G'!$B$26)/(('Table G'!$B$18-'Table G'!$B$26)*(1+'Table G'!$B$18)^10),"")</f>
        <v>362945.91899159353</v>
      </c>
      <c r="F353" s="17">
        <f>IFERROR(('Table G'!$B$14+'Table G'!$B$15)/(1+'Table G'!$B$18)*IF(ABS(((1+$A353)/(1+'Table G'!$B$18))-1)&lt;0.000000001,5,(1-((1+$A353)/(1+'Table G'!$B$18))^5)/(1-((1+$A353)/(1+'Table G'!$B$18))))+('Table G'!$B$14+'Table G'!$B$15)*(1+$A353)^(5-1)*(1+'Table G'!$B$27)/(('Table G'!$B$18-'Table G'!$B$27)*(1+'Table G'!$B$18)^5),"")</f>
        <v>173051.61287758971</v>
      </c>
      <c r="G353" s="17">
        <f>IFERROR(('Table G'!$B$14+'Table G'!$B$15)/(1+'Table G'!$B$18)*IF(ABS(((1+$A353)/(1+'Table G'!$B$18))-1)&lt;0.000000001,10,(1-((1+$A353)/(1+'Table G'!$B$18))^10)/(1-((1+$A353)/(1+'Table G'!$B$18))))+('Table G'!$B$14+'Table G'!$B$15)*(1+$A353)^(10-1)*(1+'Table G'!$B$27)/(('Table G'!$B$18-'Table G'!$B$27)*(1+'Table G'!$B$18)^10),"")</f>
        <v>387821.09002319642</v>
      </c>
    </row>
    <row r="354" spans="1:7" x14ac:dyDescent="0.2">
      <c r="A354" s="8">
        <f>-0.1+350*$B$2</f>
        <v>0.25</v>
      </c>
      <c r="B354" s="17">
        <f>IFERROR(('Table G'!$B$14+'Table G'!$B$15)/(1+'Table G'!$B$18)*IF(ABS(((1+$A354)/(1+'Table G'!$B$18))-1)&lt;0.000000001,5,(1-((1+$A354)/(1+'Table G'!$B$18))^5)/(1-((1+$A354)/(1+'Table G'!$B$18))))+('Table G'!$B$14+'Table G'!$B$15)*(1+$A354)^(5-1)*(1+'Table G'!$B$25)/(('Table G'!$B$18-'Table G'!$B$25)*(1+'Table G'!$B$18)^5),"")</f>
        <v>151180.6825002993</v>
      </c>
      <c r="C354" s="17">
        <f>IFERROR(('Table G'!$B$14+'Table G'!$B$15)/(1+'Table G'!$B$18)*IF(ABS(((1+$A354)/(1+'Table G'!$B$18))-1)&lt;0.000000001,10,(1-((1+$A354)/(1+'Table G'!$B$18))^10)/(1-((1+$A354)/(1+'Table G'!$B$18))))+('Table G'!$B$14+'Table G'!$B$15)*(1+$A354)^(10-1)*(1+'Table G'!$B$25)/(('Table G'!$B$18-'Table G'!$B$25)*(1+'Table G'!$B$18)^10),"")</f>
        <v>343977.55527435313</v>
      </c>
      <c r="D354" s="17">
        <f>IFERROR(('Table G'!$B$14+'Table G'!$B$15)/(1+'Table G'!$B$18)*IF(ABS(((1+$A354)/(1+'Table G'!$B$18))-1)&lt;0.000000001,5,(1-((1+$A354)/(1+'Table G'!$B$18))^5)/(1-((1+$A354)/(1+'Table G'!$B$18))))+('Table G'!$B$14+'Table G'!$B$15)*(1+$A354)^(5-1)*(1+'Table G'!$B$26)/(('Table G'!$B$18-'Table G'!$B$26)*(1+'Table G'!$B$18)^5),"")</f>
        <v>161476.44358459499</v>
      </c>
      <c r="E354" s="17">
        <f>IFERROR(('Table G'!$B$14+'Table G'!$B$15)/(1+'Table G'!$B$18)*IF(ABS(((1+$A354)/(1+'Table G'!$B$18))-1)&lt;0.000000001,10,(1-((1+$A354)/(1+'Table G'!$B$18))^10)/(1-((1+$A354)/(1+'Table G'!$B$18))))+('Table G'!$B$14+'Table G'!$B$15)*(1+$A354)^(10-1)*(1+'Table G'!$B$26)/(('Table G'!$B$18-'Table G'!$B$26)*(1+'Table G'!$B$18)^10),"")</f>
        <v>365317.641866853</v>
      </c>
      <c r="F354" s="17">
        <f>IFERROR(('Table G'!$B$14+'Table G'!$B$15)/(1+'Table G'!$B$18)*IF(ABS(((1+$A354)/(1+'Table G'!$B$18))-1)&lt;0.000000001,5,(1-((1+$A354)/(1+'Table G'!$B$18))^5)/(1-((1+$A354)/(1+'Table G'!$B$18))))+('Table G'!$B$14+'Table G'!$B$15)*(1+$A354)^(5-1)*(1+'Table G'!$B$27)/(('Table G'!$B$18-'Table G'!$B$27)*(1+'Table G'!$B$18)^5),"")</f>
        <v>173564.50132817417</v>
      </c>
      <c r="G354" s="17">
        <f>IFERROR(('Table G'!$B$14+'Table G'!$B$15)/(1+'Table G'!$B$18)*IF(ABS(((1+$A354)/(1+'Table G'!$B$18))-1)&lt;0.000000001,10,(1-((1+$A354)/(1+'Table G'!$B$18))^10)/(1-((1+$A354)/(1+'Table G'!$B$18))))+('Table G'!$B$14+'Table G'!$B$15)*(1+$A354)^(10-1)*(1+'Table G'!$B$27)/(('Table G'!$B$18-'Table G'!$B$27)*(1+'Table G'!$B$18)^10),"")</f>
        <v>390372.63264131756</v>
      </c>
    </row>
    <row r="355" spans="1:7" x14ac:dyDescent="0.2">
      <c r="A355" s="8">
        <f>-0.1+351*$B$2</f>
        <v>0.251</v>
      </c>
      <c r="B355" s="17">
        <f>IFERROR(('Table G'!$B$14+'Table G'!$B$15)/(1+'Table G'!$B$18)*IF(ABS(((1+$A355)/(1+'Table G'!$B$18))-1)&lt;0.000000001,5,(1-((1+$A355)/(1+'Table G'!$B$18))^5)/(1-((1+$A355)/(1+'Table G'!$B$18))))+('Table G'!$B$14+'Table G'!$B$15)*(1+$A355)^(5-1)*(1+'Table G'!$B$25)/(('Table G'!$B$18-'Table G'!$B$25)*(1+'Table G'!$B$18)^5),"")</f>
        <v>151623.05047113734</v>
      </c>
      <c r="C355" s="17">
        <f>IFERROR(('Table G'!$B$14+'Table G'!$B$15)/(1+'Table G'!$B$18)*IF(ABS(((1+$A355)/(1+'Table G'!$B$18))-1)&lt;0.000000001,10,(1-((1+$A355)/(1+'Table G'!$B$18))^10)/(1-((1+$A355)/(1+'Table G'!$B$18))))+('Table G'!$B$14+'Table G'!$B$15)*(1+$A355)^(10-1)*(1+'Table G'!$B$25)/(('Table G'!$B$18-'Table G'!$B$25)*(1+'Table G'!$B$18)^10),"")</f>
        <v>346209.67186639516</v>
      </c>
      <c r="D355" s="17">
        <f>IFERROR(('Table G'!$B$14+'Table G'!$B$15)/(1+'Table G'!$B$18)*IF(ABS(((1+$A355)/(1+'Table G'!$B$18))-1)&lt;0.000000001,5,(1-((1+$A355)/(1+'Table G'!$B$18))^5)/(1-((1+$A355)/(1+'Table G'!$B$18))))+('Table G'!$B$14+'Table G'!$B$15)*(1+$A355)^(5-1)*(1+'Table G'!$B$26)/(('Table G'!$B$18-'Table G'!$B$26)*(1+'Table G'!$B$18)^5),"")</f>
        <v>161951.79754771525</v>
      </c>
      <c r="E355" s="17">
        <f>IFERROR(('Table G'!$B$14+'Table G'!$B$15)/(1+'Table G'!$B$18)*IF(ABS(((1+$A355)/(1+'Table G'!$B$18))-1)&lt;0.000000001,10,(1-((1+$A355)/(1+'Table G'!$B$18))^10)/(1-((1+$A355)/(1+'Table G'!$B$18))))+('Table G'!$B$14+'Table G'!$B$15)*(1+$A355)^(10-1)*(1+'Table G'!$B$26)/(('Table G'!$B$18-'Table G'!$B$26)*(1+'Table G'!$B$18)^10),"")</f>
        <v>367703.8996768528</v>
      </c>
      <c r="F355" s="17">
        <f>IFERROR(('Table G'!$B$14+'Table G'!$B$15)/(1+'Table G'!$B$18)*IF(ABS(((1+$A355)/(1+'Table G'!$B$18))-1)&lt;0.000000001,5,(1-((1+$A355)/(1+'Table G'!$B$18))^5)/(1-((1+$A355)/(1+'Table G'!$B$18))))+('Table G'!$B$14+'Table G'!$B$15)*(1+$A355)^(5-1)*(1+'Table G'!$B$27)/(('Table G'!$B$18-'Table G'!$B$27)*(1+'Table G'!$B$18)^5),"")</f>
        <v>174078.58351897699</v>
      </c>
      <c r="G355" s="17">
        <f>IFERROR(('Table G'!$B$14+'Table G'!$B$15)/(1+'Table G'!$B$18)*IF(ABS(((1+$A355)/(1+'Table G'!$B$18))-1)&lt;0.000000001,10,(1-((1+$A355)/(1+'Table G'!$B$18))^10)/(1-((1+$A355)/(1+'Table G'!$B$18))))+('Table G'!$B$14+'Table G'!$B$15)*(1+$A355)^(10-1)*(1+'Table G'!$B$27)/(('Table G'!$B$18-'Table G'!$B$27)*(1+'Table G'!$B$18)^10),"")</f>
        <v>392939.86473074008</v>
      </c>
    </row>
    <row r="356" spans="1:7" x14ac:dyDescent="0.2">
      <c r="A356" s="8">
        <f>-0.1+352*$B$2</f>
        <v>0.252</v>
      </c>
      <c r="B356" s="17">
        <f>IFERROR(('Table G'!$B$14+'Table G'!$B$15)/(1+'Table G'!$B$18)*IF(ABS(((1+$A356)/(1+'Table G'!$B$18))-1)&lt;0.000000001,5,(1-((1+$A356)/(1+'Table G'!$B$18))^5)/(1-((1+$A356)/(1+'Table G'!$B$18))))+('Table G'!$B$14+'Table G'!$B$15)*(1+$A356)^(5-1)*(1+'Table G'!$B$25)/(('Table G'!$B$18-'Table G'!$B$25)*(1+'Table G'!$B$18)^5),"")</f>
        <v>152066.44187641665</v>
      </c>
      <c r="C356" s="17">
        <f>IFERROR(('Table G'!$B$14+'Table G'!$B$15)/(1+'Table G'!$B$18)*IF(ABS(((1+$A356)/(1+'Table G'!$B$18))-1)&lt;0.000000001,10,(1-((1+$A356)/(1+'Table G'!$B$18))^10)/(1-((1+$A356)/(1+'Table G'!$B$18))))+('Table G'!$B$14+'Table G'!$B$15)*(1+$A356)^(10-1)*(1+'Table G'!$B$25)/(('Table G'!$B$18-'Table G'!$B$25)*(1+'Table G'!$B$18)^10),"")</f>
        <v>348455.41386230686</v>
      </c>
      <c r="D356" s="17">
        <f>IFERROR(('Table G'!$B$14+'Table G'!$B$15)/(1+'Table G'!$B$18)*IF(ABS(((1+$A356)/(1+'Table G'!$B$18))-1)&lt;0.000000001,5,(1-((1+$A356)/(1+'Table G'!$B$18))^5)/(1-((1+$A356)/(1+'Table G'!$B$18))))+('Table G'!$B$14+'Table G'!$B$15)*(1+$A356)^(5-1)*(1+'Table G'!$B$26)/(('Table G'!$B$18-'Table G'!$B$26)*(1+'Table G'!$B$18)^5),"")</f>
        <v>162428.25414329529</v>
      </c>
      <c r="E356" s="17">
        <f>IFERROR(('Table G'!$B$14+'Table G'!$B$15)/(1+'Table G'!$B$18)*IF(ABS(((1+$A356)/(1+'Table G'!$B$18))-1)&lt;0.000000001,10,(1-((1+$A356)/(1+'Table G'!$B$18))^10)/(1-((1+$A356)/(1+'Table G'!$B$18))))+('Table G'!$B$14+'Table G'!$B$15)*(1+$A356)^(10-1)*(1+'Table G'!$B$26)/(('Table G'!$B$18-'Table G'!$B$26)*(1+'Table G'!$B$18)^10),"")</f>
        <v>370104.77176412451</v>
      </c>
      <c r="F356" s="17">
        <f>IFERROR(('Table G'!$B$14+'Table G'!$B$15)/(1+'Table G'!$B$18)*IF(ABS(((1+$A356)/(1+'Table G'!$B$18))-1)&lt;0.000000001,5,(1-((1+$A356)/(1+'Table G'!$B$18))^5)/(1-((1+$A356)/(1+'Table G'!$B$18))))+('Table G'!$B$14+'Table G'!$B$15)*(1+$A356)^(5-1)*(1+'Table G'!$B$27)/(('Table G'!$B$18-'Table G'!$B$27)*(1+'Table G'!$B$18)^5),"")</f>
        <v>174593.86132713029</v>
      </c>
      <c r="G356" s="17">
        <f>IFERROR(('Table G'!$B$14+'Table G'!$B$15)/(1+'Table G'!$B$18)*IF(ABS(((1+$A356)/(1+'Table G'!$B$18))-1)&lt;0.000000001,10,(1-((1+$A356)/(1+'Table G'!$B$18))^10)/(1-((1+$A356)/(1+'Table G'!$B$18))))+('Table G'!$B$14+'Table G'!$B$15)*(1+$A356)^(10-1)*(1+'Table G'!$B$27)/(('Table G'!$B$18-'Table G'!$B$27)*(1+'Table G'!$B$18)^10),"")</f>
        <v>395522.87211493391</v>
      </c>
    </row>
    <row r="357" spans="1:7" x14ac:dyDescent="0.2">
      <c r="A357" s="8">
        <f>-0.1+353*$B$2</f>
        <v>0.253</v>
      </c>
      <c r="B357" s="17">
        <f>IFERROR(('Table G'!$B$14+'Table G'!$B$15)/(1+'Table G'!$B$18)*IF(ABS(((1+$A357)/(1+'Table G'!$B$18))-1)&lt;0.000000001,5,(1-((1+$A357)/(1+'Table G'!$B$18))^5)/(1-((1+$A357)/(1+'Table G'!$B$18))))+('Table G'!$B$14+'Table G'!$B$15)*(1+$A357)^(5-1)*(1+'Table G'!$B$25)/(('Table G'!$B$18-'Table G'!$B$25)*(1+'Table G'!$B$18)^5),"")</f>
        <v>152510.85831937077</v>
      </c>
      <c r="C357" s="17">
        <f>IFERROR(('Table G'!$B$14+'Table G'!$B$15)/(1+'Table G'!$B$18)*IF(ABS(((1+$A357)/(1+'Table G'!$B$18))-1)&lt;0.000000001,10,(1-((1+$A357)/(1+'Table G'!$B$18))^10)/(1-((1+$A357)/(1+'Table G'!$B$18))))+('Table G'!$B$14+'Table G'!$B$15)*(1+$A357)^(10-1)*(1+'Table G'!$B$25)/(('Table G'!$B$18-'Table G'!$B$25)*(1+'Table G'!$B$18)^10),"")</f>
        <v>350714.85543238139</v>
      </c>
      <c r="D357" s="17">
        <f>IFERROR(('Table G'!$B$14+'Table G'!$B$15)/(1+'Table G'!$B$18)*IF(ABS(((1+$A357)/(1+'Table G'!$B$18))-1)&lt;0.000000001,5,(1-((1+$A357)/(1+'Table G'!$B$18))^5)/(1-((1+$A357)/(1+'Table G'!$B$18))))+('Table G'!$B$14+'Table G'!$B$15)*(1+$A357)^(5-1)*(1+'Table G'!$B$26)/(('Table G'!$B$18-'Table G'!$B$26)*(1+'Table G'!$B$18)^5),"")</f>
        <v>162905.81510123477</v>
      </c>
      <c r="E357" s="17">
        <f>IFERROR(('Table G'!$B$14+'Table G'!$B$15)/(1+'Table G'!$B$18)*IF(ABS(((1+$A357)/(1+'Table G'!$B$18))-1)&lt;0.000000001,10,(1-((1+$A357)/(1+'Table G'!$B$18))^10)/(1-((1+$A357)/(1+'Table G'!$B$18))))+('Table G'!$B$14+'Table G'!$B$15)*(1+$A357)^(10-1)*(1+'Table G'!$B$26)/(('Table G'!$B$18-'Table G'!$B$26)*(1+'Table G'!$B$18)^10),"")</f>
        <v>372520.33784550917</v>
      </c>
      <c r="F357" s="17">
        <f>IFERROR(('Table G'!$B$14+'Table G'!$B$15)/(1+'Table G'!$B$18)*IF(ABS(((1+$A357)/(1+'Table G'!$B$18))-1)&lt;0.000000001,5,(1-((1+$A357)/(1+'Table G'!$B$18))^5)/(1-((1+$A357)/(1+'Table G'!$B$18))))+('Table G'!$B$14+'Table G'!$B$15)*(1+$A357)^(5-1)*(1+'Table G'!$B$27)/(('Table G'!$B$18-'Table G'!$B$27)*(1+'Table G'!$B$18)^5),"")</f>
        <v>175110.33663125025</v>
      </c>
      <c r="G357" s="17">
        <f>IFERROR(('Table G'!$B$14+'Table G'!$B$15)/(1+'Table G'!$B$18)*IF(ABS(((1+$A357)/(1+'Table G'!$B$18))-1)&lt;0.000000001,10,(1-((1+$A357)/(1+'Table G'!$B$18))^10)/(1-((1+$A357)/(1+'Table G'!$B$18))))+('Table G'!$B$14+'Table G'!$B$15)*(1+$A357)^(10-1)*(1+'Table G'!$B$27)/(('Table G'!$B$18-'Table G'!$B$27)*(1+'Table G'!$B$18)^10),"")</f>
        <v>398121.74102283642</v>
      </c>
    </row>
    <row r="358" spans="1:7" x14ac:dyDescent="0.2">
      <c r="A358" s="8">
        <f>-0.1+354*$B$2</f>
        <v>0.254</v>
      </c>
      <c r="B358" s="17">
        <f>IFERROR(('Table G'!$B$14+'Table G'!$B$15)/(1+'Table G'!$B$18)*IF(ABS(((1+$A358)/(1+'Table G'!$B$18))-1)&lt;0.000000001,5,(1-((1+$A358)/(1+'Table G'!$B$18))^5)/(1-((1+$A358)/(1+'Table G'!$B$18))))+('Table G'!$B$14+'Table G'!$B$15)*(1+$A358)^(5-1)*(1+'Table G'!$B$25)/(('Table G'!$B$18-'Table G'!$B$25)*(1+'Table G'!$B$18)^5),"")</f>
        <v>152956.30140449759</v>
      </c>
      <c r="C358" s="17">
        <f>IFERROR(('Table G'!$B$14+'Table G'!$B$15)/(1+'Table G'!$B$18)*IF(ABS(((1+$A358)/(1+'Table G'!$B$18))-1)&lt;0.000000001,10,(1-((1+$A358)/(1+'Table G'!$B$18))^10)/(1-((1+$A358)/(1+'Table G'!$B$18))))+('Table G'!$B$14+'Table G'!$B$15)*(1+$A358)^(10-1)*(1+'Table G'!$B$25)/(('Table G'!$B$18-'Table G'!$B$25)*(1+'Table G'!$B$18)^10),"")</f>
        <v>352988.07109605602</v>
      </c>
      <c r="D358" s="17">
        <f>IFERROR(('Table G'!$B$14+'Table G'!$B$15)/(1+'Table G'!$B$18)*IF(ABS(((1+$A358)/(1+'Table G'!$B$18))-1)&lt;0.000000001,5,(1-((1+$A358)/(1+'Table G'!$B$18))^5)/(1-((1+$A358)/(1+'Table G'!$B$18))))+('Table G'!$B$14+'Table G'!$B$15)*(1+$A358)^(5-1)*(1+'Table G'!$B$26)/(('Table G'!$B$18-'Table G'!$B$26)*(1+'Table G'!$B$18)^5),"")</f>
        <v>163384.48215279885</v>
      </c>
      <c r="E358" s="17">
        <f>IFERROR(('Table G'!$B$14+'Table G'!$B$15)/(1+'Table G'!$B$18)*IF(ABS(((1+$A358)/(1+'Table G'!$B$18))-1)&lt;0.000000001,10,(1-((1+$A358)/(1+'Table G'!$B$18))^10)/(1-((1+$A358)/(1+'Table G'!$B$18))))+('Table G'!$B$14+'Table G'!$B$15)*(1+$A358)^(10-1)*(1+'Table G'!$B$26)/(('Table G'!$B$18-'Table G'!$B$26)*(1+'Table G'!$B$18)^10),"")</f>
        <v>374950.6780136365</v>
      </c>
      <c r="F358" s="17">
        <f>IFERROR(('Table G'!$B$14+'Table G'!$B$15)/(1+'Table G'!$B$18)*IF(ABS(((1+$A358)/(1+'Table G'!$B$18))-1)&lt;0.000000001,5,(1-((1+$A358)/(1+'Table G'!$B$18))^5)/(1-((1+$A358)/(1+'Table G'!$B$18))))+('Table G'!$B$14+'Table G'!$B$15)*(1+$A358)^(5-1)*(1+'Table G'!$B$27)/(('Table G'!$B$18-'Table G'!$B$27)*(1+'Table G'!$B$18)^5),"")</f>
        <v>175628.01131143706</v>
      </c>
      <c r="G358" s="17">
        <f>IFERROR(('Table G'!$B$14+'Table G'!$B$15)/(1+'Table G'!$B$18)*IF(ABS(((1+$A358)/(1+'Table G'!$B$18))-1)&lt;0.000000001,10,(1-((1+$A358)/(1+'Table G'!$B$18))^10)/(1-((1+$A358)/(1+'Table G'!$B$18))))+('Table G'!$B$14+'Table G'!$B$15)*(1+$A358)^(10-1)*(1+'Table G'!$B$27)/(('Table G'!$B$18-'Table G'!$B$27)*(1+'Table G'!$B$18)^10),"")</f>
        <v>400736.55809045699</v>
      </c>
    </row>
    <row r="359" spans="1:7" x14ac:dyDescent="0.2">
      <c r="A359" s="8">
        <f>-0.1+355*$B$2</f>
        <v>0.255</v>
      </c>
      <c r="B359" s="17">
        <f>IFERROR(('Table G'!$B$14+'Table G'!$B$15)/(1+'Table G'!$B$18)*IF(ABS(((1+$A359)/(1+'Table G'!$B$18))-1)&lt;0.000000001,5,(1-((1+$A359)/(1+'Table G'!$B$18))^5)/(1-((1+$A359)/(1+'Table G'!$B$18))))+('Table G'!$B$14+'Table G'!$B$15)*(1+$A359)^(5-1)*(1+'Table G'!$B$25)/(('Table G'!$B$18-'Table G'!$B$25)*(1+'Table G'!$B$18)^5),"")</f>
        <v>153402.7727375589</v>
      </c>
      <c r="C359" s="17">
        <f>IFERROR(('Table G'!$B$14+'Table G'!$B$15)/(1+'Table G'!$B$18)*IF(ABS(((1+$A359)/(1+'Table G'!$B$18))-1)&lt;0.000000001,10,(1-((1+$A359)/(1+'Table G'!$B$18))^10)/(1-((1+$A359)/(1+'Table G'!$B$18))))+('Table G'!$B$14+'Table G'!$B$15)*(1+$A359)^(10-1)*(1+'Table G'!$B$25)/(('Table G'!$B$18-'Table G'!$B$25)*(1+'Table G'!$B$18)^10),"")</f>
        <v>355275.13572328875</v>
      </c>
      <c r="D359" s="17">
        <f>IFERROR(('Table G'!$B$14+'Table G'!$B$15)/(1+'Table G'!$B$18)*IF(ABS(((1+$A359)/(1+'Table G'!$B$18))-1)&lt;0.000000001,5,(1-((1+$A359)/(1+'Table G'!$B$18))^5)/(1-((1+$A359)/(1+'Table G'!$B$18))))+('Table G'!$B$14+'Table G'!$B$15)*(1+$A359)^(5-1)*(1+'Table G'!$B$26)/(('Table G'!$B$18-'Table G'!$B$26)*(1+'Table G'!$B$18)^5),"")</f>
        <v>163864.25703061797</v>
      </c>
      <c r="E359" s="17">
        <f>IFERROR(('Table G'!$B$14+'Table G'!$B$15)/(1+'Table G'!$B$18)*IF(ABS(((1+$A359)/(1+'Table G'!$B$18))-1)&lt;0.000000001,10,(1-((1+$A359)/(1+'Table G'!$B$18))^10)/(1-((1+$A359)/(1+'Table G'!$B$18))))+('Table G'!$B$14+'Table G'!$B$15)*(1+$A359)^(10-1)*(1+'Table G'!$B$26)/(('Table G'!$B$18-'Table G'!$B$26)*(1+'Table G'!$B$18)^10),"")</f>
        <v>377395.87273840804</v>
      </c>
      <c r="F359" s="17">
        <f>IFERROR(('Table G'!$B$14+'Table G'!$B$15)/(1+'Table G'!$B$18)*IF(ABS(((1+$A359)/(1+'Table G'!$B$18))-1)&lt;0.000000001,5,(1-((1+$A359)/(1+'Table G'!$B$18))^5)/(1-((1+$A359)/(1+'Table G'!$B$18))))+('Table G'!$B$14+'Table G'!$B$15)*(1+$A359)^(5-1)*(1+'Table G'!$B$27)/(('Table G'!$B$18-'Table G'!$B$27)*(1+'Table G'!$B$18)^5),"")</f>
        <v>176146.88724927514</v>
      </c>
      <c r="G359" s="17">
        <f>IFERROR(('Table G'!$B$14+'Table G'!$B$15)/(1+'Table G'!$B$18)*IF(ABS(((1+$A359)/(1+'Table G'!$B$18))-1)&lt;0.000000001,10,(1-((1+$A359)/(1+'Table G'!$B$18))^10)/(1-((1+$A359)/(1+'Table G'!$B$18))))+('Table G'!$B$14+'Table G'!$B$15)*(1+$A359)^(10-1)*(1+'Table G'!$B$27)/(('Table G'!$B$18-'Table G'!$B$27)*(1+'Table G'!$B$18)^10),"")</f>
        <v>403367.41036248492</v>
      </c>
    </row>
    <row r="360" spans="1:7" x14ac:dyDescent="0.2">
      <c r="A360" s="8">
        <f>-0.1+356*$B$2</f>
        <v>0.25600000000000001</v>
      </c>
      <c r="B360" s="17">
        <f>IFERROR(('Table G'!$B$14+'Table G'!$B$15)/(1+'Table G'!$B$18)*IF(ABS(((1+$A360)/(1+'Table G'!$B$18))-1)&lt;0.000000001,5,(1-((1+$A360)/(1+'Table G'!$B$18))^5)/(1-((1+$A360)/(1+'Table G'!$B$18))))+('Table G'!$B$14+'Table G'!$B$15)*(1+$A360)^(5-1)*(1+'Table G'!$B$25)/(('Table G'!$B$18-'Table G'!$B$25)*(1+'Table G'!$B$18)^5),"")</f>
        <v>153850.27392558072</v>
      </c>
      <c r="C360" s="17">
        <f>IFERROR(('Table G'!$B$14+'Table G'!$B$15)/(1+'Table G'!$B$18)*IF(ABS(((1+$A360)/(1+'Table G'!$B$18))-1)&lt;0.000000001,10,(1-((1+$A360)/(1+'Table G'!$B$18))^10)/(1-((1+$A360)/(1+'Table G'!$B$18))))+('Table G'!$B$14+'Table G'!$B$15)*(1+$A360)^(10-1)*(1+'Table G'!$B$25)/(('Table G'!$B$18-'Table G'!$B$25)*(1+'Table G'!$B$18)^10),"")</f>
        <v>357576.12453593838</v>
      </c>
      <c r="D360" s="17">
        <f>IFERROR(('Table G'!$B$14+'Table G'!$B$15)/(1+'Table G'!$B$18)*IF(ABS(((1+$A360)/(1+'Table G'!$B$18))-1)&lt;0.000000001,5,(1-((1+$A360)/(1+'Table G'!$B$18))^5)/(1-((1+$A360)/(1+'Table G'!$B$18))))+('Table G'!$B$14+'Table G'!$B$15)*(1+$A360)^(5-1)*(1+'Table G'!$B$26)/(('Table G'!$B$18-'Table G'!$B$26)*(1+'Table G'!$B$18)^5),"")</f>
        <v>164345.14146868783</v>
      </c>
      <c r="E360" s="17">
        <f>IFERROR(('Table G'!$B$14+'Table G'!$B$15)/(1+'Table G'!$B$18)*IF(ABS(((1+$A360)/(1+'Table G'!$B$18))-1)&lt;0.000000001,10,(1-((1+$A360)/(1+'Table G'!$B$18))^10)/(1-((1+$A360)/(1+'Table G'!$B$18))))+('Table G'!$B$14+'Table G'!$B$15)*(1+$A360)^(10-1)*(1+'Table G'!$B$26)/(('Table G'!$B$18-'Table G'!$B$26)*(1+'Table G'!$B$18)^10),"")</f>
        <v>379856.00286848465</v>
      </c>
      <c r="F360" s="17">
        <f>IFERROR(('Table G'!$B$14+'Table G'!$B$15)/(1+'Table G'!$B$18)*IF(ABS(((1+$A360)/(1+'Table G'!$B$18))-1)&lt;0.000000001,5,(1-((1+$A360)/(1+'Table G'!$B$18))^5)/(1-((1+$A360)/(1+'Table G'!$B$18))))+('Table G'!$B$14+'Table G'!$B$15)*(1+$A360)^(5-1)*(1+'Table G'!$B$27)/(('Table G'!$B$18-'Table G'!$B$27)*(1+'Table G'!$B$18)^5),"")</f>
        <v>176666.96632783298</v>
      </c>
      <c r="G360" s="17">
        <f>IFERROR(('Table G'!$B$14+'Table G'!$B$15)/(1+'Table G'!$B$18)*IF(ABS(((1+$A360)/(1+'Table G'!$B$18))-1)&lt;0.000000001,10,(1-((1+$A360)/(1+'Table G'!$B$18))^10)/(1-((1+$A360)/(1+'Table G'!$B$18))))+('Table G'!$B$14+'Table G'!$B$15)*(1+$A360)^(10-1)*(1+'Table G'!$B$27)/(('Table G'!$B$18-'Table G'!$B$27)*(1+'Table G'!$B$18)^10),"")</f>
        <v>406014.38529390231</v>
      </c>
    </row>
    <row r="361" spans="1:7" x14ac:dyDescent="0.2">
      <c r="A361" s="8">
        <f>-0.1+357*$B$2</f>
        <v>0.25700000000000001</v>
      </c>
      <c r="B361" s="17">
        <f>IFERROR(('Table G'!$B$14+'Table G'!$B$15)/(1+'Table G'!$B$18)*IF(ABS(((1+$A361)/(1+'Table G'!$B$18))-1)&lt;0.000000001,5,(1-((1+$A361)/(1+'Table G'!$B$18))^5)/(1-((1+$A361)/(1+'Table G'!$B$18))))+('Table G'!$B$14+'Table G'!$B$15)*(1+$A361)^(5-1)*(1+'Table G'!$B$25)/(('Table G'!$B$18-'Table G'!$B$25)*(1+'Table G'!$B$18)^5),"")</f>
        <v>154298.80657685277</v>
      </c>
      <c r="C361" s="17">
        <f>IFERROR(('Table G'!$B$14+'Table G'!$B$15)/(1+'Table G'!$B$18)*IF(ABS(((1+$A361)/(1+'Table G'!$B$18))-1)&lt;0.000000001,10,(1-((1+$A361)/(1+'Table G'!$B$18))^10)/(1-((1+$A361)/(1+'Table G'!$B$18))))+('Table G'!$B$14+'Table G'!$B$15)*(1+$A361)^(10-1)*(1+'Table G'!$B$25)/(('Table G'!$B$18-'Table G'!$B$25)*(1+'Table G'!$B$18)^10),"")</f>
        <v>359891.11310914741</v>
      </c>
      <c r="D361" s="17">
        <f>IFERROR(('Table G'!$B$14+'Table G'!$B$15)/(1+'Table G'!$B$18)*IF(ABS(((1+$A361)/(1+'Table G'!$B$18))-1)&lt;0.000000001,5,(1-((1+$A361)/(1+'Table G'!$B$18))^5)/(1-((1+$A361)/(1+'Table G'!$B$18))))+('Table G'!$B$14+'Table G'!$B$15)*(1+$A361)^(5-1)*(1+'Table G'!$B$26)/(('Table G'!$B$18-'Table G'!$B$26)*(1+'Table G'!$B$18)^5),"")</f>
        <v>164827.13720236917</v>
      </c>
      <c r="E361" s="17">
        <f>IFERROR(('Table G'!$B$14+'Table G'!$B$15)/(1+'Table G'!$B$18)*IF(ABS(((1+$A361)/(1+'Table G'!$B$18))-1)&lt;0.000000001,10,(1-((1+$A361)/(1+'Table G'!$B$18))^10)/(1-((1+$A361)/(1+'Table G'!$B$18))))+('Table G'!$B$14+'Table G'!$B$15)*(1+$A361)^(10-1)*(1+'Table G'!$B$26)/(('Table G'!$B$18-'Table G'!$B$26)*(1+'Table G'!$B$18)^10),"")</f>
        <v>382331.14963277627</v>
      </c>
      <c r="F361" s="17">
        <f>IFERROR(('Table G'!$B$14+'Table G'!$B$15)/(1+'Table G'!$B$18)*IF(ABS(((1+$A361)/(1+'Table G'!$B$18))-1)&lt;0.000000001,5,(1-((1+$A361)/(1+'Table G'!$B$18))^5)/(1-((1+$A361)/(1+'Table G'!$B$18))))+('Table G'!$B$14+'Table G'!$B$15)*(1+$A361)^(5-1)*(1+'Table G'!$B$27)/(('Table G'!$B$18-'Table G'!$B$27)*(1+'Table G'!$B$18)^5),"")</f>
        <v>177188.25043166298</v>
      </c>
      <c r="G361" s="17">
        <f>IFERROR(('Table G'!$B$14+'Table G'!$B$15)/(1+'Table G'!$B$18)*IF(ABS(((1+$A361)/(1+'Table G'!$B$18))-1)&lt;0.000000001,10,(1-((1+$A361)/(1+'Table G'!$B$18))^10)/(1-((1+$A361)/(1+'Table G'!$B$18))))+('Table G'!$B$14+'Table G'!$B$15)*(1+$A361)^(10-1)*(1+'Table G'!$B$27)/(('Table G'!$B$18-'Table G'!$B$27)*(1+'Table G'!$B$18)^10),"")</f>
        <v>408677.57075160008</v>
      </c>
    </row>
    <row r="362" spans="1:7" x14ac:dyDescent="0.2">
      <c r="A362" s="8">
        <f>-0.1+358*$B$2</f>
        <v>0.25800000000000001</v>
      </c>
      <c r="B362" s="17">
        <f>IFERROR(('Table G'!$B$14+'Table G'!$B$15)/(1+'Table G'!$B$18)*IF(ABS(((1+$A362)/(1+'Table G'!$B$18))-1)&lt;0.000000001,5,(1-((1+$A362)/(1+'Table G'!$B$18))^5)/(1-((1+$A362)/(1+'Table G'!$B$18))))+('Table G'!$B$14+'Table G'!$B$15)*(1+$A362)^(5-1)*(1+'Table G'!$B$25)/(('Table G'!$B$18-'Table G'!$B$25)*(1+'Table G'!$B$18)^5),"")</f>
        <v>154748.3723009289</v>
      </c>
      <c r="C362" s="17">
        <f>IFERROR(('Table G'!$B$14+'Table G'!$B$15)/(1+'Table G'!$B$18)*IF(ABS(((1+$A362)/(1+'Table G'!$B$18))-1)&lt;0.000000001,10,(1-((1+$A362)/(1+'Table G'!$B$18))^10)/(1-((1+$A362)/(1+'Table G'!$B$18))))+('Table G'!$B$14+'Table G'!$B$15)*(1+$A362)^(10-1)*(1+'Table G'!$B$25)/(('Table G'!$B$18-'Table G'!$B$25)*(1+'Table G'!$B$18)^10),"")</f>
        <v>362220.17737273342</v>
      </c>
      <c r="D362" s="17">
        <f>IFERROR(('Table G'!$B$14+'Table G'!$B$15)/(1+'Table G'!$B$18)*IF(ABS(((1+$A362)/(1+'Table G'!$B$18))-1)&lt;0.000000001,5,(1-((1+$A362)/(1+'Table G'!$B$18))^5)/(1-((1+$A362)/(1+'Table G'!$B$18))))+('Table G'!$B$14+'Table G'!$B$15)*(1+$A362)^(5-1)*(1+'Table G'!$B$26)/(('Table G'!$B$18-'Table G'!$B$26)*(1+'Table G'!$B$18)^5),"")</f>
        <v>165310.24596838804</v>
      </c>
      <c r="E362" s="17">
        <f>IFERROR(('Table G'!$B$14+'Table G'!$B$15)/(1+'Table G'!$B$18)*IF(ABS(((1+$A362)/(1+'Table G'!$B$18))-1)&lt;0.000000001,10,(1-((1+$A362)/(1+'Table G'!$B$18))^10)/(1-((1+$A362)/(1+'Table G'!$B$18))))+('Table G'!$B$14+'Table G'!$B$15)*(1+$A362)^(10-1)*(1+'Table G'!$B$26)/(('Table G'!$B$18-'Table G'!$B$26)*(1+'Table G'!$B$18)^10),"")</f>
        <v>384821.39464194071</v>
      </c>
      <c r="F362" s="17">
        <f>IFERROR(('Table G'!$B$14+'Table G'!$B$15)/(1+'Table G'!$B$18)*IF(ABS(((1+$A362)/(1+'Table G'!$B$18))-1)&lt;0.000000001,5,(1-((1+$A362)/(1+'Table G'!$B$18))^5)/(1-((1+$A362)/(1+'Table G'!$B$18))))+('Table G'!$B$14+'Table G'!$B$15)*(1+$A362)^(5-1)*(1+'Table G'!$B$27)/(('Table G'!$B$18-'Table G'!$B$27)*(1+'Table G'!$B$18)^5),"")</f>
        <v>177710.74144680155</v>
      </c>
      <c r="G362" s="17">
        <f>IFERROR(('Table G'!$B$14+'Table G'!$B$15)/(1+'Table G'!$B$18)*IF(ABS(((1+$A362)/(1+'Table G'!$B$18))-1)&lt;0.000000001,10,(1-((1+$A362)/(1+'Table G'!$B$18))^10)/(1-((1+$A362)/(1+'Table G'!$B$18))))+('Table G'!$B$14+'Table G'!$B$15)*(1+$A362)^(10-1)*(1+'Table G'!$B$27)/(('Table G'!$B$18-'Table G'!$B$27)*(1+'Table G'!$B$18)^10),"")</f>
        <v>411357.05501600291</v>
      </c>
    </row>
    <row r="363" spans="1:7" x14ac:dyDescent="0.2">
      <c r="A363" s="8">
        <f>-0.1+359*$B$2</f>
        <v>0.25900000000000001</v>
      </c>
      <c r="B363" s="17">
        <f>IFERROR(('Table G'!$B$14+'Table G'!$B$15)/(1+'Table G'!$B$18)*IF(ABS(((1+$A363)/(1+'Table G'!$B$18))-1)&lt;0.000000001,5,(1-((1+$A363)/(1+'Table G'!$B$18))^5)/(1-((1+$A363)/(1+'Table G'!$B$18))))+('Table G'!$B$14+'Table G'!$B$15)*(1+$A363)^(5-1)*(1+'Table G'!$B$25)/(('Table G'!$B$18-'Table G'!$B$25)*(1+'Table G'!$B$18)^5),"")</f>
        <v>155198.97270862706</v>
      </c>
      <c r="C363" s="17">
        <f>IFERROR(('Table G'!$B$14+'Table G'!$B$15)/(1+'Table G'!$B$18)*IF(ABS(((1+$A363)/(1+'Table G'!$B$18))-1)&lt;0.000000001,10,(1-((1+$A363)/(1+'Table G'!$B$18))^10)/(1-((1+$A363)/(1+'Table G'!$B$18))))+('Table G'!$B$14+'Table G'!$B$15)*(1+$A363)^(10-1)*(1+'Table G'!$B$25)/(('Table G'!$B$18-'Table G'!$B$25)*(1+'Table G'!$B$18)^10),"")</f>
        <v>364563.39361258241</v>
      </c>
      <c r="D363" s="17">
        <f>IFERROR(('Table G'!$B$14+'Table G'!$B$15)/(1+'Table G'!$B$18)*IF(ABS(((1+$A363)/(1+'Table G'!$B$18))-1)&lt;0.000000001,5,(1-((1+$A363)/(1+'Table G'!$B$18))^5)/(1-((1+$A363)/(1+'Table G'!$B$18))))+('Table G'!$B$14+'Table G'!$B$15)*(1+$A363)^(5-1)*(1+'Table G'!$B$26)/(('Table G'!$B$18-'Table G'!$B$26)*(1+'Table G'!$B$18)^5),"")</f>
        <v>165794.4695048357</v>
      </c>
      <c r="E363" s="17">
        <f>IFERROR(('Table G'!$B$14+'Table G'!$B$15)/(1+'Table G'!$B$18)*IF(ABS(((1+$A363)/(1+'Table G'!$B$18))-1)&lt;0.000000001,10,(1-((1+$A363)/(1+'Table G'!$B$18))^10)/(1-((1+$A363)/(1+'Table G'!$B$18))))+('Table G'!$B$14+'Table G'!$B$15)*(1+$A363)^(10-1)*(1+'Table G'!$B$26)/(('Table G'!$B$18-'Table G'!$B$26)*(1+'Table G'!$B$18)^10),"")</f>
        <v>387326.81988988526</v>
      </c>
      <c r="F363" s="17">
        <f>IFERROR(('Table G'!$B$14+'Table G'!$B$15)/(1+'Table G'!$B$18)*IF(ABS(((1+$A363)/(1+'Table G'!$B$18))-1)&lt;0.000000001,5,(1-((1+$A363)/(1+'Table G'!$B$18))^5)/(1-((1+$A363)/(1+'Table G'!$B$18))))+('Table G'!$B$14+'Table G'!$B$15)*(1+$A363)^(5-1)*(1+'Table G'!$B$27)/(('Table G'!$B$18-'Table G'!$B$27)*(1+'Table G'!$B$18)^5),"")</f>
        <v>178234.44126076932</v>
      </c>
      <c r="G363" s="17">
        <f>IFERROR(('Table G'!$B$14+'Table G'!$B$15)/(1+'Table G'!$B$18)*IF(ABS(((1+$A363)/(1+'Table G'!$B$18))-1)&lt;0.000000001,10,(1-((1+$A363)/(1+'Table G'!$B$18))^10)/(1-((1+$A363)/(1+'Table G'!$B$18))))+('Table G'!$B$14+'Table G'!$B$15)*(1+$A363)^(10-1)*(1+'Table G'!$B$27)/(('Table G'!$B$18-'Table G'!$B$27)*(1+'Table G'!$B$18)^10),"")</f>
        <v>414052.92678269767</v>
      </c>
    </row>
    <row r="364" spans="1:7" x14ac:dyDescent="0.2">
      <c r="A364" s="8">
        <f>-0.1+360*$B$2</f>
        <v>0.26</v>
      </c>
      <c r="B364" s="17">
        <f>IFERROR(('Table G'!$B$14+'Table G'!$B$15)/(1+'Table G'!$B$18)*IF(ABS(((1+$A364)/(1+'Table G'!$B$18))-1)&lt;0.000000001,5,(1-((1+$A364)/(1+'Table G'!$B$18))^5)/(1-((1+$A364)/(1+'Table G'!$B$18))))+('Table G'!$B$14+'Table G'!$B$15)*(1+$A364)^(5-1)*(1+'Table G'!$B$25)/(('Table G'!$B$18-'Table G'!$B$25)*(1+'Table G'!$B$18)^5),"")</f>
        <v>155650.60941202927</v>
      </c>
      <c r="C364" s="17">
        <f>IFERROR(('Table G'!$B$14+'Table G'!$B$15)/(1+'Table G'!$B$18)*IF(ABS(((1+$A364)/(1+'Table G'!$B$18))-1)&lt;0.000000001,10,(1-((1+$A364)/(1+'Table G'!$B$18))^10)/(1-((1+$A364)/(1+'Table G'!$B$18))))+('Table G'!$B$14+'Table G'!$B$15)*(1+$A364)^(10-1)*(1+'Table G'!$B$25)/(('Table G'!$B$18-'Table G'!$B$25)*(1+'Table G'!$B$18)^10),"")</f>
        <v>366920.83847204701</v>
      </c>
      <c r="D364" s="17">
        <f>IFERROR(('Table G'!$B$14+'Table G'!$B$15)/(1+'Table G'!$B$18)*IF(ABS(((1+$A364)/(1+'Table G'!$B$18))-1)&lt;0.000000001,5,(1-((1+$A364)/(1+'Table G'!$B$18))^5)/(1-((1+$A364)/(1+'Table G'!$B$18))))+('Table G'!$B$14+'Table G'!$B$15)*(1+$A364)^(5-1)*(1+'Table G'!$B$26)/(('Table G'!$B$18-'Table G'!$B$26)*(1+'Table G'!$B$18)^5),"")</f>
        <v>166279.80955116893</v>
      </c>
      <c r="E364" s="17">
        <f>IFERROR(('Table G'!$B$14+'Table G'!$B$15)/(1+'Table G'!$B$18)*IF(ABS(((1+$A364)/(1+'Table G'!$B$18))-1)&lt;0.000000001,10,(1-((1+$A364)/(1+'Table G'!$B$18))^10)/(1-((1+$A364)/(1+'Table G'!$B$18))))+('Table G'!$B$14+'Table G'!$B$15)*(1+$A364)^(10-1)*(1+'Table G'!$B$26)/(('Table G'!$B$18-'Table G'!$B$26)*(1+'Table G'!$B$18)^10),"")</f>
        <v>389847.50775527337</v>
      </c>
      <c r="F364" s="17">
        <f>IFERROR(('Table G'!$B$14+'Table G'!$B$15)/(1+'Table G'!$B$18)*IF(ABS(((1+$A364)/(1+'Table G'!$B$18))-1)&lt;0.000000001,5,(1-((1+$A364)/(1+'Table G'!$B$18))^5)/(1-((1+$A364)/(1+'Table G'!$B$18))))+('Table G'!$B$14+'Table G'!$B$15)*(1+$A364)^(5-1)*(1+'Table G'!$B$27)/(('Table G'!$B$18-'Table G'!$B$27)*(1+'Table G'!$B$18)^5),"")</f>
        <v>178759.35176257114</v>
      </c>
      <c r="G364" s="17">
        <f>IFERROR(('Table G'!$B$14+'Table G'!$B$15)/(1+'Table G'!$B$18)*IF(ABS(((1+$A364)/(1+'Table G'!$B$18))-1)&lt;0.000000001,10,(1-((1+$A364)/(1+'Table G'!$B$18))^10)/(1-((1+$A364)/(1+'Table G'!$B$18))))+('Table G'!$B$14+'Table G'!$B$15)*(1+$A364)^(10-1)*(1+'Table G'!$B$27)/(('Table G'!$B$18-'Table G'!$B$27)*(1+'Table G'!$B$18)^10),"")</f>
        <v>416765.27516406728</v>
      </c>
    </row>
    <row r="365" spans="1:7" x14ac:dyDescent="0.2">
      <c r="A365" s="8">
        <f>-0.1+361*$B$2</f>
        <v>0.26100000000000001</v>
      </c>
      <c r="B365" s="17">
        <f>IFERROR(('Table G'!$B$14+'Table G'!$B$15)/(1+'Table G'!$B$18)*IF(ABS(((1+$A365)/(1+'Table G'!$B$18))-1)&lt;0.000000001,5,(1-((1+$A365)/(1+'Table G'!$B$18))^5)/(1-((1+$A365)/(1+'Table G'!$B$18))))+('Table G'!$B$14+'Table G'!$B$15)*(1+$A365)^(5-1)*(1+'Table G'!$B$25)/(('Table G'!$B$18-'Table G'!$B$25)*(1+'Table G'!$B$18)^5),"")</f>
        <v>156103.2840244814</v>
      </c>
      <c r="C365" s="17">
        <f>IFERROR(('Table G'!$B$14+'Table G'!$B$15)/(1+'Table G'!$B$18)*IF(ABS(((1+$A365)/(1+'Table G'!$B$18))-1)&lt;0.000000001,10,(1-((1+$A365)/(1+'Table G'!$B$18))^10)/(1-((1+$A365)/(1+'Table G'!$B$18))))+('Table G'!$B$14+'Table G'!$B$15)*(1+$A365)^(10-1)*(1+'Table G'!$B$25)/(('Table G'!$B$18-'Table G'!$B$25)*(1+'Table G'!$B$18)^10),"")</f>
        <v>369292.58895334671</v>
      </c>
      <c r="D365" s="17">
        <f>IFERROR(('Table G'!$B$14+'Table G'!$B$15)/(1+'Table G'!$B$18)*IF(ABS(((1+$A365)/(1+'Table G'!$B$18))-1)&lt;0.000000001,5,(1-((1+$A365)/(1+'Table G'!$B$18))^5)/(1-((1+$A365)/(1+'Table G'!$B$18))))+('Table G'!$B$14+'Table G'!$B$15)*(1+$A365)^(5-1)*(1+'Table G'!$B$26)/(('Table G'!$B$18-'Table G'!$B$26)*(1+'Table G'!$B$18)^5),"")</f>
        <v>166766.26784820927</v>
      </c>
      <c r="E365" s="17">
        <f>IFERROR(('Table G'!$B$14+'Table G'!$B$15)/(1+'Table G'!$B$18)*IF(ABS(((1+$A365)/(1+'Table G'!$B$18))-1)&lt;0.000000001,10,(1-((1+$A365)/(1+'Table G'!$B$18))^10)/(1-((1+$A365)/(1+'Table G'!$B$18))))+('Table G'!$B$14+'Table G'!$B$15)*(1+$A365)^(10-1)*(1+'Table G'!$B$26)/(('Table G'!$B$18-'Table G'!$B$26)*(1+'Table G'!$B$18)^10),"")</f>
        <v>392383.54100303294</v>
      </c>
      <c r="F365" s="17">
        <f>IFERROR(('Table G'!$B$14+'Table G'!$B$15)/(1+'Table G'!$B$18)*IF(ABS(((1+$A365)/(1+'Table G'!$B$18))-1)&lt;0.000000001,5,(1-((1+$A365)/(1+'Table G'!$B$18))^5)/(1-((1+$A365)/(1+'Table G'!$B$18))))+('Table G'!$B$14+'Table G'!$B$15)*(1+$A365)^(5-1)*(1+'Table G'!$B$27)/(('Table G'!$B$18-'Table G'!$B$27)*(1+'Table G'!$B$18)^5),"")</f>
        <v>179285.47484269555</v>
      </c>
      <c r="G365" s="17">
        <f>IFERROR(('Table G'!$B$14+'Table G'!$B$15)/(1+'Table G'!$B$18)*IF(ABS(((1+$A365)/(1+'Table G'!$B$18))-1)&lt;0.000000001,10,(1-((1+$A365)/(1+'Table G'!$B$18))^10)/(1-((1+$A365)/(1+'Table G'!$B$18))))+('Table G'!$B$14+'Table G'!$B$15)*(1+$A365)^(10-1)*(1+'Table G'!$B$27)/(('Table G'!$B$18-'Table G'!$B$27)*(1+'Table G'!$B$18)^10),"")</f>
        <v>419494.18969092635</v>
      </c>
    </row>
    <row r="366" spans="1:7" x14ac:dyDescent="0.2">
      <c r="A366" s="8">
        <f>-0.1+362*$B$2</f>
        <v>0.26200000000000001</v>
      </c>
      <c r="B366" s="17">
        <f>IFERROR(('Table G'!$B$14+'Table G'!$B$15)/(1+'Table G'!$B$18)*IF(ABS(((1+$A366)/(1+'Table G'!$B$18))-1)&lt;0.000000001,5,(1-((1+$A366)/(1+'Table G'!$B$18))^5)/(1-((1+$A366)/(1+'Table G'!$B$18))))+('Table G'!$B$14+'Table G'!$B$15)*(1+$A366)^(5-1)*(1+'Table G'!$B$25)/(('Table G'!$B$18-'Table G'!$B$25)*(1+'Table G'!$B$18)^5),"")</f>
        <v>156556.99816059327</v>
      </c>
      <c r="C366" s="17">
        <f>IFERROR(('Table G'!$B$14+'Table G'!$B$15)/(1+'Table G'!$B$18)*IF(ABS(((1+$A366)/(1+'Table G'!$B$18))-1)&lt;0.000000001,10,(1-((1+$A366)/(1+'Table G'!$B$18))^10)/(1-((1+$A366)/(1+'Table G'!$B$18))))+('Table G'!$B$14+'Table G'!$B$15)*(1+$A366)^(10-1)*(1+'Table G'!$B$25)/(('Table G'!$B$18-'Table G'!$B$25)*(1+'Table G'!$B$18)^10),"")</f>
        <v>371678.72241897648</v>
      </c>
      <c r="D366" s="17">
        <f>IFERROR(('Table G'!$B$14+'Table G'!$B$15)/(1+'Table G'!$B$18)*IF(ABS(((1+$A366)/(1+'Table G'!$B$18))-1)&lt;0.000000001,5,(1-((1+$A366)/(1+'Table G'!$B$18))^5)/(1-((1+$A366)/(1+'Table G'!$B$18))))+('Table G'!$B$14+'Table G'!$B$15)*(1+$A366)^(5-1)*(1+'Table G'!$B$26)/(('Table G'!$B$18-'Table G'!$B$26)*(1+'Table G'!$B$18)^5),"")</f>
        <v>167253.84613814368</v>
      </c>
      <c r="E366" s="17">
        <f>IFERROR(('Table G'!$B$14+'Table G'!$B$15)/(1+'Table G'!$B$18)*IF(ABS(((1+$A366)/(1+'Table G'!$B$18))-1)&lt;0.000000001,10,(1-((1+$A366)/(1+'Table G'!$B$18))^10)/(1-((1+$A366)/(1+'Table G'!$B$18))))+('Table G'!$B$14+'Table G'!$B$15)*(1+$A366)^(10-1)*(1+'Table G'!$B$26)/(('Table G'!$B$18-'Table G'!$B$26)*(1+'Table G'!$B$18)^10),"")</f>
        <v>394935.0027858743</v>
      </c>
      <c r="F366" s="17">
        <f>IFERROR(('Table G'!$B$14+'Table G'!$B$15)/(1+'Table G'!$B$18)*IF(ABS(((1+$A366)/(1+'Table G'!$B$18))-1)&lt;0.000000001,5,(1-((1+$A366)/(1+'Table G'!$B$18))^5)/(1-((1+$A366)/(1+'Table G'!$B$18))))+('Table G'!$B$14+'Table G'!$B$15)*(1+$A366)^(5-1)*(1+'Table G'!$B$27)/(('Table G'!$B$18-'Table G'!$B$27)*(1+'Table G'!$B$18)^5),"")</f>
        <v>179812.81239311513</v>
      </c>
      <c r="G366" s="17">
        <f>IFERROR(('Table G'!$B$14+'Table G'!$B$15)/(1+'Table G'!$B$18)*IF(ABS(((1+$A366)/(1+'Table G'!$B$18))-1)&lt;0.000000001,10,(1-((1+$A366)/(1+'Table G'!$B$18))^10)/(1-((1+$A366)/(1+'Table G'!$B$18))))+('Table G'!$B$14+'Table G'!$B$15)*(1+$A366)^(10-1)*(1+'Table G'!$B$27)/(('Table G'!$B$18-'Table G'!$B$27)*(1+'Table G'!$B$18)^10),"")</f>
        <v>422239.76031416719</v>
      </c>
    </row>
    <row r="367" spans="1:7" x14ac:dyDescent="0.2">
      <c r="A367" s="8">
        <f>-0.1+363*$B$2</f>
        <v>0.26300000000000001</v>
      </c>
      <c r="B367" s="17">
        <f>IFERROR(('Table G'!$B$14+'Table G'!$B$15)/(1+'Table G'!$B$18)*IF(ABS(((1+$A367)/(1+'Table G'!$B$18))-1)&lt;0.000000001,5,(1-((1+$A367)/(1+'Table G'!$B$18))^5)/(1-((1+$A367)/(1+'Table G'!$B$18))))+('Table G'!$B$14+'Table G'!$B$15)*(1+$A367)^(5-1)*(1+'Table G'!$B$25)/(('Table G'!$B$18-'Table G'!$B$25)*(1+'Table G'!$B$18)^5),"")</f>
        <v>157011.75343623903</v>
      </c>
      <c r="C367" s="17">
        <f>IFERROR(('Table G'!$B$14+'Table G'!$B$15)/(1+'Table G'!$B$18)*IF(ABS(((1+$A367)/(1+'Table G'!$B$18))-1)&lt;0.000000001,10,(1-((1+$A367)/(1+'Table G'!$B$18))^10)/(1-((1+$A367)/(1+'Table G'!$B$18))))+('Table G'!$B$14+'Table G'!$B$15)*(1+$A367)^(10-1)*(1+'Table G'!$B$25)/(('Table G'!$B$18-'Table G'!$B$25)*(1+'Table G'!$B$18)^10),"")</f>
        <v>374079.31659311889</v>
      </c>
      <c r="D367" s="17">
        <f>IFERROR(('Table G'!$B$14+'Table G'!$B$15)/(1+'Table G'!$B$18)*IF(ABS(((1+$A367)/(1+'Table G'!$B$18))-1)&lt;0.000000001,5,(1-((1+$A367)/(1+'Table G'!$B$18))^5)/(1-((1+$A367)/(1+'Table G'!$B$18))))+('Table G'!$B$14+'Table G'!$B$15)*(1+$A367)^(5-1)*(1+'Table G'!$B$26)/(('Table G'!$B$18-'Table G'!$B$26)*(1+'Table G'!$B$18)^5),"")</f>
        <v>167742.54616452454</v>
      </c>
      <c r="E367" s="17">
        <f>IFERROR(('Table G'!$B$14+'Table G'!$B$15)/(1+'Table G'!$B$18)*IF(ABS(((1+$A367)/(1+'Table G'!$B$18))-1)&lt;0.000000001,10,(1-((1+$A367)/(1+'Table G'!$B$18))^10)/(1-((1+$A367)/(1+'Table G'!$B$18))))+('Table G'!$B$14+'Table G'!$B$15)*(1+$A367)^(10-1)*(1+'Table G'!$B$26)/(('Table G'!$B$18-'Table G'!$B$26)*(1+'Table G'!$B$18)^10),"")</f>
        <v>397501.97664581169</v>
      </c>
      <c r="F367" s="17">
        <f>IFERROR(('Table G'!$B$14+'Table G'!$B$15)/(1+'Table G'!$B$18)*IF(ABS(((1+$A367)/(1+'Table G'!$B$18))-1)&lt;0.000000001,5,(1-((1+$A367)/(1+'Table G'!$B$18))^5)/(1-((1+$A367)/(1+'Table G'!$B$18))))+('Table G'!$B$14+'Table G'!$B$15)*(1+$A367)^(5-1)*(1+'Table G'!$B$27)/(('Table G'!$B$18-'Table G'!$B$27)*(1+'Table G'!$B$18)^5),"")</f>
        <v>180341.36630728701</v>
      </c>
      <c r="G367" s="17">
        <f>IFERROR(('Table G'!$B$14+'Table G'!$B$15)/(1+'Table G'!$B$18)*IF(ABS(((1+$A367)/(1+'Table G'!$B$18))-1)&lt;0.000000001,10,(1-((1+$A367)/(1+'Table G'!$B$18))^10)/(1-((1+$A367)/(1+'Table G'!$B$18))))+('Table G'!$B$14+'Table G'!$B$15)*(1+$A367)^(10-1)*(1+'Table G'!$B$27)/(('Table G'!$B$18-'Table G'!$B$27)*(1+'Table G'!$B$18)^10),"")</f>
        <v>425002.0774064099</v>
      </c>
    </row>
    <row r="368" spans="1:7" x14ac:dyDescent="0.2">
      <c r="A368" s="8">
        <f>-0.1+364*$B$2</f>
        <v>0.26400000000000001</v>
      </c>
      <c r="B368" s="17">
        <f>IFERROR(('Table G'!$B$14+'Table G'!$B$15)/(1+'Table G'!$B$18)*IF(ABS(((1+$A368)/(1+'Table G'!$B$18))-1)&lt;0.000000001,5,(1-((1+$A368)/(1+'Table G'!$B$18))^5)/(1-((1+$A368)/(1+'Table G'!$B$18))))+('Table G'!$B$14+'Table G'!$B$15)*(1+$A368)^(5-1)*(1+'Table G'!$B$25)/(('Table G'!$B$18-'Table G'!$B$25)*(1+'Table G'!$B$18)^5),"")</f>
        <v>157467.55146855675</v>
      </c>
      <c r="C368" s="17">
        <f>IFERROR(('Table G'!$B$14+'Table G'!$B$15)/(1+'Table G'!$B$18)*IF(ABS(((1+$A368)/(1+'Table G'!$B$18))-1)&lt;0.000000001,10,(1-((1+$A368)/(1+'Table G'!$B$18))^10)/(1-((1+$A368)/(1+'Table G'!$B$18))))+('Table G'!$B$14+'Table G'!$B$15)*(1+$A368)^(10-1)*(1+'Table G'!$B$25)/(('Table G'!$B$18-'Table G'!$B$25)*(1+'Table G'!$B$18)^10),"")</f>
        <v>376494.4495630578</v>
      </c>
      <c r="D368" s="17">
        <f>IFERROR(('Table G'!$B$14+'Table G'!$B$15)/(1+'Table G'!$B$18)*IF(ABS(((1+$A368)/(1+'Table G'!$B$18))-1)&lt;0.000000001,5,(1-((1+$A368)/(1+'Table G'!$B$18))^5)/(1-((1+$A368)/(1+'Table G'!$B$18))))+('Table G'!$B$14+'Table G'!$B$15)*(1+$A368)^(5-1)*(1+'Table G'!$B$26)/(('Table G'!$B$18-'Table G'!$B$26)*(1+'Table G'!$B$18)^5),"")</f>
        <v>168232.36967226927</v>
      </c>
      <c r="E368" s="17">
        <f>IFERROR(('Table G'!$B$14+'Table G'!$B$15)/(1+'Table G'!$B$18)*IF(ABS(((1+$A368)/(1+'Table G'!$B$18))-1)&lt;0.000000001,10,(1-((1+$A368)/(1+'Table G'!$B$18))^10)/(1-((1+$A368)/(1+'Table G'!$B$18))))+('Table G'!$B$14+'Table G'!$B$15)*(1+$A368)^(10-1)*(1+'Table G'!$B$26)/(('Table G'!$B$18-'Table G'!$B$26)*(1+'Table G'!$B$18)^10),"")</f>
        <v>400084.54651568667</v>
      </c>
      <c r="F368" s="17">
        <f>IFERROR(('Table G'!$B$14+'Table G'!$B$15)/(1+'Table G'!$B$18)*IF(ABS(((1+$A368)/(1+'Table G'!$B$18))-1)&lt;0.000000001,5,(1-((1+$A368)/(1+'Table G'!$B$18))^5)/(1-((1+$A368)/(1+'Table G'!$B$18))))+('Table G'!$B$14+'Table G'!$B$15)*(1+$A368)^(5-1)*(1+'Table G'!$B$27)/(('Table G'!$B$18-'Table G'!$B$27)*(1+'Table G'!$B$18)^5),"")</f>
        <v>180871.13848015206</v>
      </c>
      <c r="G368" s="17">
        <f>IFERROR(('Table G'!$B$14+'Table G'!$B$15)/(1+'Table G'!$B$18)*IF(ABS(((1+$A368)/(1+'Table G'!$B$18))-1)&lt;0.000000001,10,(1-((1+$A368)/(1+'Table G'!$B$18))^10)/(1-((1+$A368)/(1+'Table G'!$B$18))))+('Table G'!$B$14+'Table G'!$B$15)*(1+$A368)^(10-1)*(1+'Table G'!$B$27)/(('Table G'!$B$18-'Table G'!$B$27)*(1+'Table G'!$B$18)^10),"")</f>
        <v>427781.23176365416</v>
      </c>
    </row>
    <row r="369" spans="1:7" x14ac:dyDescent="0.2">
      <c r="A369" s="8">
        <f>-0.1+365*$B$2</f>
        <v>0.26500000000000001</v>
      </c>
      <c r="B369" s="17">
        <f>IFERROR(('Table G'!$B$14+'Table G'!$B$15)/(1+'Table G'!$B$18)*IF(ABS(((1+$A369)/(1+'Table G'!$B$18))-1)&lt;0.000000001,5,(1-((1+$A369)/(1+'Table G'!$B$18))^5)/(1-((1+$A369)/(1+'Table G'!$B$18))))+('Table G'!$B$14+'Table G'!$B$15)*(1+$A369)^(5-1)*(1+'Table G'!$B$25)/(('Table G'!$B$18-'Table G'!$B$25)*(1+'Table G'!$B$18)^5),"")</f>
        <v>157924.39387594836</v>
      </c>
      <c r="C369" s="17">
        <f>IFERROR(('Table G'!$B$14+'Table G'!$B$15)/(1+'Table G'!$B$18)*IF(ABS(((1+$A369)/(1+'Table G'!$B$18))-1)&lt;0.000000001,10,(1-((1+$A369)/(1+'Table G'!$B$18))^10)/(1-((1+$A369)/(1+'Table G'!$B$18))))+('Table G'!$B$14+'Table G'!$B$15)*(1+$A369)^(10-1)*(1+'Table G'!$B$25)/(('Table G'!$B$18-'Table G'!$B$25)*(1+'Table G'!$B$18)^10),"")</f>
        <v>378924.19978059886</v>
      </c>
      <c r="D369" s="17">
        <f>IFERROR(('Table G'!$B$14+'Table G'!$B$15)/(1+'Table G'!$B$18)*IF(ABS(((1+$A369)/(1+'Table G'!$B$18))-1)&lt;0.000000001,5,(1-((1+$A369)/(1+'Table G'!$B$18))^5)/(1-((1+$A369)/(1+'Table G'!$B$18))))+('Table G'!$B$14+'Table G'!$B$15)*(1+$A369)^(5-1)*(1+'Table G'!$B$26)/(('Table G'!$B$18-'Table G'!$B$26)*(1+'Table G'!$B$18)^5),"")</f>
        <v>168723.31840766058</v>
      </c>
      <c r="E369" s="17">
        <f>IFERROR(('Table G'!$B$14+'Table G'!$B$15)/(1+'Table G'!$B$18)*IF(ABS(((1+$A369)/(1+'Table G'!$B$18))-1)&lt;0.000000001,10,(1-((1+$A369)/(1+'Table G'!$B$18))^10)/(1-((1+$A369)/(1+'Table G'!$B$18))))+('Table G'!$B$14+'Table G'!$B$15)*(1+$A369)^(10-1)*(1+'Table G'!$B$26)/(('Table G'!$B$18-'Table G'!$B$26)*(1+'Table G'!$B$18)^10),"")</f>
        <v>402682.79672069818</v>
      </c>
      <c r="F369" s="17">
        <f>IFERROR(('Table G'!$B$14+'Table G'!$B$15)/(1+'Table G'!$B$18)*IF(ABS(((1+$A369)/(1+'Table G'!$B$18))-1)&lt;0.000000001,5,(1-((1+$A369)/(1+'Table G'!$B$18))^5)/(1-((1+$A369)/(1+'Table G'!$B$18))))+('Table G'!$B$14+'Table G'!$B$15)*(1+$A369)^(5-1)*(1+'Table G'!$B$27)/(('Table G'!$B$18-'Table G'!$B$27)*(1+'Table G'!$B$18)^5),"")</f>
        <v>181402.13080813512</v>
      </c>
      <c r="G369" s="17">
        <f>IFERROR(('Table G'!$B$14+'Table G'!$B$15)/(1+'Table G'!$B$18)*IF(ABS(((1+$A369)/(1+'Table G'!$B$18))-1)&lt;0.000000001,10,(1-((1+$A369)/(1+'Table G'!$B$18))^10)/(1-((1+$A369)/(1+'Table G'!$B$18))))+('Table G'!$B$14+'Table G'!$B$15)*(1+$A369)^(10-1)*(1+'Table G'!$B$27)/(('Table G'!$B$18-'Table G'!$B$27)*(1+'Table G'!$B$18)^10),"")</f>
        <v>430577.31460693874</v>
      </c>
    </row>
    <row r="370" spans="1:7" x14ac:dyDescent="0.2">
      <c r="A370" s="8">
        <f>-0.1+366*$B$2</f>
        <v>0.26600000000000001</v>
      </c>
      <c r="B370" s="17">
        <f>IFERROR(('Table G'!$B$14+'Table G'!$B$15)/(1+'Table G'!$B$18)*IF(ABS(((1+$A370)/(1+'Table G'!$B$18))-1)&lt;0.000000001,5,(1-((1+$A370)/(1+'Table G'!$B$18))^5)/(1-((1+$A370)/(1+'Table G'!$B$18))))+('Table G'!$B$14+'Table G'!$B$15)*(1+$A370)^(5-1)*(1+'Table G'!$B$25)/(('Table G'!$B$18-'Table G'!$B$25)*(1+'Table G'!$B$18)^5),"")</f>
        <v>158382.28227807983</v>
      </c>
      <c r="C370" s="17">
        <f>IFERROR(('Table G'!$B$14+'Table G'!$B$15)/(1+'Table G'!$B$18)*IF(ABS(((1+$A370)/(1+'Table G'!$B$18))-1)&lt;0.000000001,10,(1-((1+$A370)/(1+'Table G'!$B$18))^10)/(1-((1+$A370)/(1+'Table G'!$B$18))))+('Table G'!$B$14+'Table G'!$B$15)*(1+$A370)^(10-1)*(1+'Table G'!$B$25)/(('Table G'!$B$18-'Table G'!$B$25)*(1+'Table G'!$B$18)^10),"")</f>
        <v>381368.64606349444</v>
      </c>
      <c r="D370" s="17">
        <f>IFERROR(('Table G'!$B$14+'Table G'!$B$15)/(1+'Table G'!$B$18)*IF(ABS(((1+$A370)/(1+'Table G'!$B$18))-1)&lt;0.000000001,5,(1-((1+$A370)/(1+'Table G'!$B$18))^5)/(1-((1+$A370)/(1+'Table G'!$B$18))))+('Table G'!$B$14+'Table G'!$B$15)*(1+$A370)^(5-1)*(1+'Table G'!$B$26)/(('Table G'!$B$18-'Table G'!$B$26)*(1+'Table G'!$B$18)^5),"")</f>
        <v>169215.39411834627</v>
      </c>
      <c r="E370" s="17">
        <f>IFERROR(('Table G'!$B$14+'Table G'!$B$15)/(1+'Table G'!$B$18)*IF(ABS(((1+$A370)/(1+'Table G'!$B$18))-1)&lt;0.000000001,10,(1-((1+$A370)/(1+'Table G'!$B$18))^10)/(1-((1+$A370)/(1+'Table G'!$B$18))))+('Table G'!$B$14+'Table G'!$B$15)*(1+$A370)^(10-1)*(1+'Table G'!$B$26)/(('Table G'!$B$18-'Table G'!$B$26)*(1+'Table G'!$B$18)^10),"")</f>
        <v>405296.81197993836</v>
      </c>
      <c r="F370" s="17">
        <f>IFERROR(('Table G'!$B$14+'Table G'!$B$15)/(1+'Table G'!$B$18)*IF(ABS(((1+$A370)/(1+'Table G'!$B$18))-1)&lt;0.000000001,5,(1-((1+$A370)/(1+'Table G'!$B$18))^5)/(1-((1+$A370)/(1+'Table G'!$B$18))))+('Table G'!$B$14+'Table G'!$B$15)*(1+$A370)^(5-1)*(1+'Table G'!$B$27)/(('Table G'!$B$18-'Table G'!$B$27)*(1+'Table G'!$B$18)^5),"")</f>
        <v>181934.34518914524</v>
      </c>
      <c r="G370" s="17">
        <f>IFERROR(('Table G'!$B$14+'Table G'!$B$15)/(1+'Table G'!$B$18)*IF(ABS(((1+$A370)/(1+'Table G'!$B$18))-1)&lt;0.000000001,10,(1-((1+$A370)/(1+'Table G'!$B$18))^10)/(1-((1+$A370)/(1+'Table G'!$B$18))))+('Table G'!$B$14+'Table G'!$B$15)*(1+$A370)^(10-1)*(1+'Table G'!$B$27)/(('Table G'!$B$18-'Table G'!$B$27)*(1+'Table G'!$B$18)^10),"")</f>
        <v>433390.41758400667</v>
      </c>
    </row>
    <row r="371" spans="1:7" x14ac:dyDescent="0.2">
      <c r="A371" s="8">
        <f>-0.1+367*$B$2</f>
        <v>0.26700000000000002</v>
      </c>
      <c r="B371" s="17">
        <f>IFERROR(('Table G'!$B$14+'Table G'!$B$15)/(1+'Table G'!$B$18)*IF(ABS(((1+$A371)/(1+'Table G'!$B$18))-1)&lt;0.000000001,5,(1-((1+$A371)/(1+'Table G'!$B$18))^5)/(1-((1+$A371)/(1+'Table G'!$B$18))))+('Table G'!$B$14+'Table G'!$B$15)*(1+$A371)^(5-1)*(1+'Table G'!$B$25)/(('Table G'!$B$18-'Table G'!$B$25)*(1+'Table G'!$B$18)^5),"")</f>
        <v>158841.21829588129</v>
      </c>
      <c r="C371" s="17">
        <f>IFERROR(('Table G'!$B$14+'Table G'!$B$15)/(1+'Table G'!$B$18)*IF(ABS(((1+$A371)/(1+'Table G'!$B$18))-1)&lt;0.000000001,10,(1-((1+$A371)/(1+'Table G'!$B$18))^10)/(1-((1+$A371)/(1+'Table G'!$B$18))))+('Table G'!$B$14+'Table G'!$B$15)*(1+$A371)^(10-1)*(1+'Table G'!$B$25)/(('Table G'!$B$18-'Table G'!$B$25)*(1+'Table G'!$B$18)^10),"")</f>
        <v>383827.86759687262</v>
      </c>
      <c r="D371" s="17">
        <f>IFERROR(('Table G'!$B$14+'Table G'!$B$15)/(1+'Table G'!$B$18)*IF(ABS(((1+$A371)/(1+'Table G'!$B$18))-1)&lt;0.000000001,5,(1-((1+$A371)/(1+'Table G'!$B$18))^5)/(1-((1+$A371)/(1+'Table G'!$B$18))))+('Table G'!$B$14+'Table G'!$B$15)*(1+$A371)^(5-1)*(1+'Table G'!$B$26)/(('Table G'!$B$18-'Table G'!$B$26)*(1+'Table G'!$B$18)^5),"")</f>
        <v>169708.5985533396</v>
      </c>
      <c r="E371" s="17">
        <f>IFERROR(('Table G'!$B$14+'Table G'!$B$15)/(1+'Table G'!$B$18)*IF(ABS(((1+$A371)/(1+'Table G'!$B$18))-1)&lt;0.000000001,10,(1-((1+$A371)/(1+'Table G'!$B$18))^10)/(1-((1+$A371)/(1+'Table G'!$B$18))))+('Table G'!$B$14+'Table G'!$B$15)*(1+$A371)^(10-1)*(1+'Table G'!$B$26)/(('Table G'!$B$18-'Table G'!$B$26)*(1+'Table G'!$B$18)^10),"")</f>
        <v>407926.677407932</v>
      </c>
      <c r="F371" s="17">
        <f>IFERROR(('Table G'!$B$14+'Table G'!$B$15)/(1+'Table G'!$B$18)*IF(ABS(((1+$A371)/(1+'Table G'!$B$18))-1)&lt;0.000000001,5,(1-((1+$A371)/(1+'Table G'!$B$18))^5)/(1-((1+$A371)/(1+'Table G'!$B$18))))+('Table G'!$B$14+'Table G'!$B$15)*(1+$A371)^(5-1)*(1+'Table G'!$B$27)/(('Table G'!$B$18-'Table G'!$B$27)*(1+'Table G'!$B$18)^5),"")</f>
        <v>182467.7835225754</v>
      </c>
      <c r="G371" s="17">
        <f>IFERROR(('Table G'!$B$14+'Table G'!$B$15)/(1+'Table G'!$B$18)*IF(ABS(((1+$A371)/(1+'Table G'!$B$18))-1)&lt;0.000000001,10,(1-((1+$A371)/(1+'Table G'!$B$18))^10)/(1-((1+$A371)/(1+'Table G'!$B$18))))+('Table G'!$B$14+'Table G'!$B$15)*(1+$A371)^(10-1)*(1+'Table G'!$B$27)/(('Table G'!$B$18-'Table G'!$B$27)*(1+'Table G'!$B$18)^10),"")</f>
        <v>436220.63277097524</v>
      </c>
    </row>
    <row r="372" spans="1:7" x14ac:dyDescent="0.2">
      <c r="A372" s="8">
        <f>-0.1+368*$B$2</f>
        <v>0.26800000000000002</v>
      </c>
      <c r="B372" s="17">
        <f>IFERROR(('Table G'!$B$14+'Table G'!$B$15)/(1+'Table G'!$B$18)*IF(ABS(((1+$A372)/(1+'Table G'!$B$18))-1)&lt;0.000000001,5,(1-((1+$A372)/(1+'Table G'!$B$18))^5)/(1-((1+$A372)/(1+'Table G'!$B$18))))+('Table G'!$B$14+'Table G'!$B$15)*(1+$A372)^(5-1)*(1+'Table G'!$B$25)/(('Table G'!$B$18-'Table G'!$B$25)*(1+'Table G'!$B$18)^5),"")</f>
        <v>159301.20355154693</v>
      </c>
      <c r="C372" s="17">
        <f>IFERROR(('Table G'!$B$14+'Table G'!$B$15)/(1+'Table G'!$B$18)*IF(ABS(((1+$A372)/(1+'Table G'!$B$18))-1)&lt;0.000000001,10,(1-((1+$A372)/(1+'Table G'!$B$18))^10)/(1-((1+$A372)/(1+'Table G'!$B$18))))+('Table G'!$B$14+'Table G'!$B$15)*(1+$A372)^(10-1)*(1+'Table G'!$B$25)/(('Table G'!$B$18-'Table G'!$B$25)*(1+'Table G'!$B$18)^10),"")</f>
        <v>386301.94393467187</v>
      </c>
      <c r="D372" s="17">
        <f>IFERROR(('Table G'!$B$14+'Table G'!$B$15)/(1+'Table G'!$B$18)*IF(ABS(((1+$A372)/(1+'Table G'!$B$18))-1)&lt;0.000000001,5,(1-((1+$A372)/(1+'Table G'!$B$18))^5)/(1-((1+$A372)/(1+'Table G'!$B$18))))+('Table G'!$B$14+'Table G'!$B$15)*(1+$A372)^(5-1)*(1+'Table G'!$B$26)/(('Table G'!$B$18-'Table G'!$B$26)*(1+'Table G'!$B$18)^5),"")</f>
        <v>170202.93346301906</v>
      </c>
      <c r="E372" s="17">
        <f>IFERROR(('Table G'!$B$14+'Table G'!$B$15)/(1+'Table G'!$B$18)*IF(ABS(((1+$A372)/(1+'Table G'!$B$18))-1)&lt;0.000000001,10,(1-((1+$A372)/(1+'Table G'!$B$18))^10)/(1-((1+$A372)/(1+'Table G'!$B$18))))+('Table G'!$B$14+'Table G'!$B$15)*(1+$A372)^(10-1)*(1+'Table G'!$B$26)/(('Table G'!$B$18-'Table G'!$B$26)*(1+'Table G'!$B$18)^10),"")</f>
        <v>410572.47851618245</v>
      </c>
      <c r="F372" s="17">
        <f>IFERROR(('Table G'!$B$14+'Table G'!$B$15)/(1+'Table G'!$B$18)*IF(ABS(((1+$A372)/(1+'Table G'!$B$18))-1)&lt;0.000000001,5,(1-((1+$A372)/(1+'Table G'!$B$18))^5)/(1-((1+$A372)/(1+'Table G'!$B$18))))+('Table G'!$B$14+'Table G'!$B$15)*(1+$A372)^(5-1)*(1+'Table G'!$B$27)/(('Table G'!$B$18-'Table G'!$B$27)*(1+'Table G'!$B$18)^5),"")</f>
        <v>183002.44770930306</v>
      </c>
      <c r="G372" s="17">
        <f>IFERROR(('Table G'!$B$14+'Table G'!$B$15)/(1+'Table G'!$B$18)*IF(ABS(((1+$A372)/(1+'Table G'!$B$18))-1)&lt;0.000000001,10,(1-((1+$A372)/(1+'Table G'!$B$18))^10)/(1-((1+$A372)/(1+'Table G'!$B$18))))+('Table G'!$B$14+'Table G'!$B$15)*(1+$A372)^(10-1)*(1+'Table G'!$B$27)/(('Table G'!$B$18-'Table G'!$B$27)*(1+'Table G'!$B$18)^10),"")</f>
        <v>439068.05267401144</v>
      </c>
    </row>
    <row r="373" spans="1:7" x14ac:dyDescent="0.2">
      <c r="A373" s="8">
        <f>-0.1+369*$B$2</f>
        <v>0.26900000000000002</v>
      </c>
      <c r="B373" s="17">
        <f>IFERROR(('Table G'!$B$14+'Table G'!$B$15)/(1+'Table G'!$B$18)*IF(ABS(((1+$A373)/(1+'Table G'!$B$18))-1)&lt;0.000000001,5,(1-((1+$A373)/(1+'Table G'!$B$18))^5)/(1-((1+$A373)/(1+'Table G'!$B$18))))+('Table G'!$B$14+'Table G'!$B$15)*(1+$A373)^(5-1)*(1+'Table G'!$B$25)/(('Table G'!$B$18-'Table G'!$B$25)*(1+'Table G'!$B$18)^5),"")</f>
        <v>159762.23966853478</v>
      </c>
      <c r="C373" s="17">
        <f>IFERROR(('Table G'!$B$14+'Table G'!$B$15)/(1+'Table G'!$B$18)*IF(ABS(((1+$A373)/(1+'Table G'!$B$18))-1)&lt;0.000000001,10,(1-((1+$A373)/(1+'Table G'!$B$18))^10)/(1-((1+$A373)/(1+'Table G'!$B$18))))+('Table G'!$B$14+'Table G'!$B$15)*(1+$A373)^(10-1)*(1+'Table G'!$B$25)/(('Table G'!$B$18-'Table G'!$B$25)*(1+'Table G'!$B$18)^10),"")</f>
        <v>388790.95500107575</v>
      </c>
      <c r="D373" s="17">
        <f>IFERROR(('Table G'!$B$14+'Table G'!$B$15)/(1+'Table G'!$B$18)*IF(ABS(((1+$A373)/(1+'Table G'!$B$18))-1)&lt;0.000000001,5,(1-((1+$A373)/(1+'Table G'!$B$18))^5)/(1-((1+$A373)/(1+'Table G'!$B$18))))+('Table G'!$B$14+'Table G'!$B$15)*(1+$A373)^(5-1)*(1+'Table G'!$B$26)/(('Table G'!$B$18-'Table G'!$B$26)*(1+'Table G'!$B$18)^5),"")</f>
        <v>170698.4005991281</v>
      </c>
      <c r="E373" s="17">
        <f>IFERROR(('Table G'!$B$14+'Table G'!$B$15)/(1+'Table G'!$B$18)*IF(ABS(((1+$A373)/(1+'Table G'!$B$18))-1)&lt;0.000000001,10,(1-((1+$A373)/(1+'Table G'!$B$18))^10)/(1-((1+$A373)/(1+'Table G'!$B$18))))+('Table G'!$B$14+'Table G'!$B$15)*(1+$A373)^(10-1)*(1+'Table G'!$B$26)/(('Table G'!$B$18-'Table G'!$B$26)*(1+'Table G'!$B$18)^10),"")</f>
        <v>413234.30121471768</v>
      </c>
      <c r="F373" s="17">
        <f>IFERROR(('Table G'!$B$14+'Table G'!$B$15)/(1+'Table G'!$B$18)*IF(ABS(((1+$A373)/(1+'Table G'!$B$18))-1)&lt;0.000000001,5,(1-((1+$A373)/(1+'Table G'!$B$18))^5)/(1-((1+$A373)/(1+'Table G'!$B$18))))+('Table G'!$B$14+'Table G'!$B$15)*(1+$A373)^(5-1)*(1+'Table G'!$B$27)/(('Table G'!$B$18-'Table G'!$B$27)*(1+'Table G'!$B$18)^5),"")</f>
        <v>183538.33965168917</v>
      </c>
      <c r="G373" s="17">
        <f>IFERROR(('Table G'!$B$14+'Table G'!$B$15)/(1+'Table G'!$B$18)*IF(ABS(((1+$A373)/(1+'Table G'!$B$18))-1)&lt;0.000000001,10,(1-((1+$A373)/(1+'Table G'!$B$18))^10)/(1-((1+$A373)/(1+'Table G'!$B$18))))+('Table G'!$B$14+'Table G'!$B$15)*(1+$A373)^(10-1)*(1+'Table G'!$B$27)/(('Table G'!$B$18-'Table G'!$B$27)*(1+'Table G'!$B$18)^10),"")</f>
        <v>441932.77023100946</v>
      </c>
    </row>
    <row r="374" spans="1:7" x14ac:dyDescent="0.2">
      <c r="A374" s="8">
        <f>-0.1+370*$B$2</f>
        <v>0.27</v>
      </c>
      <c r="B374" s="17">
        <f>IFERROR(('Table G'!$B$14+'Table G'!$B$15)/(1+'Table G'!$B$18)*IF(ABS(((1+$A374)/(1+'Table G'!$B$18))-1)&lt;0.000000001,5,(1-((1+$A374)/(1+'Table G'!$B$18))^5)/(1-((1+$A374)/(1+'Table G'!$B$18))))+('Table G'!$B$14+'Table G'!$B$15)*(1+$A374)^(5-1)*(1+'Table G'!$B$25)/(('Table G'!$B$18-'Table G'!$B$25)*(1+'Table G'!$B$18)^5),"")</f>
        <v>160224.32827156677</v>
      </c>
      <c r="C374" s="17">
        <f>IFERROR(('Table G'!$B$14+'Table G'!$B$15)/(1+'Table G'!$B$18)*IF(ABS(((1+$A374)/(1+'Table G'!$B$18))-1)&lt;0.000000001,10,(1-((1+$A374)/(1+'Table G'!$B$18))^10)/(1-((1+$A374)/(1+'Table G'!$B$18))))+('Table G'!$B$14+'Table G'!$B$15)*(1+$A374)^(10-1)*(1+'Table G'!$B$25)/(('Table G'!$B$18-'Table G'!$B$25)*(1+'Table G'!$B$18)^10),"")</f>
        <v>391294.98109195795</v>
      </c>
      <c r="D374" s="17">
        <f>IFERROR(('Table G'!$B$14+'Table G'!$B$15)/(1+'Table G'!$B$18)*IF(ABS(((1+$A374)/(1+'Table G'!$B$18))-1)&lt;0.000000001,5,(1-((1+$A374)/(1+'Table G'!$B$18))^5)/(1-((1+$A374)/(1+'Table G'!$B$18))))+('Table G'!$B$14+'Table G'!$B$15)*(1+$A374)^(5-1)*(1+'Table G'!$B$26)/(('Table G'!$B$18-'Table G'!$B$26)*(1+'Table G'!$B$18)^5),"")</f>
        <v>171195.00171477548</v>
      </c>
      <c r="E374" s="17">
        <f>IFERROR(('Table G'!$B$14+'Table G'!$B$15)/(1+'Table G'!$B$18)*IF(ABS(((1+$A374)/(1+'Table G'!$B$18))-1)&lt;0.000000001,10,(1-((1+$A374)/(1+'Table G'!$B$18))^10)/(1-((1+$A374)/(1+'Table G'!$B$18))))+('Table G'!$B$14+'Table G'!$B$15)*(1+$A374)^(10-1)*(1+'Table G'!$B$26)/(('Table G'!$B$18-'Table G'!$B$26)*(1+'Table G'!$B$18)^10),"")</f>
        <v>415912.23181364685</v>
      </c>
      <c r="F374" s="17">
        <f>IFERROR(('Table G'!$B$14+'Table G'!$B$15)/(1+'Table G'!$B$18)*IF(ABS(((1+$A374)/(1+'Table G'!$B$18))-1)&lt;0.000000001,5,(1-((1+$A374)/(1+'Table G'!$B$18))^5)/(1-((1+$A374)/(1+'Table G'!$B$18))))+('Table G'!$B$14+'Table G'!$B$15)*(1+$A374)^(5-1)*(1+'Table G'!$B$27)/(('Table G'!$B$18-'Table G'!$B$27)*(1+'Table G'!$B$18)^5),"")</f>
        <v>184075.46125357889</v>
      </c>
      <c r="G374" s="17">
        <f>IFERROR(('Table G'!$B$14+'Table G'!$B$15)/(1+'Table G'!$B$18)*IF(ABS(((1+$A374)/(1+'Table G'!$B$18))-1)&lt;0.000000001,10,(1-((1+$A374)/(1+'Table G'!$B$18))^10)/(1-((1+$A374)/(1+'Table G'!$B$18))))+('Table G'!$B$14+'Table G'!$B$15)*(1+$A374)^(10-1)*(1+'Table G'!$B$27)/(('Table G'!$B$18-'Table G'!$B$27)*(1+'Table G'!$B$18)^10),"")</f>
        <v>444814.87881327845</v>
      </c>
    </row>
    <row r="375" spans="1:7" x14ac:dyDescent="0.2">
      <c r="A375" s="8">
        <f>-0.1+371*$B$2</f>
        <v>0.27100000000000002</v>
      </c>
      <c r="B375" s="17">
        <f>IFERROR(('Table G'!$B$14+'Table G'!$B$15)/(1+'Table G'!$B$18)*IF(ABS(((1+$A375)/(1+'Table G'!$B$18))-1)&lt;0.000000001,5,(1-((1+$A375)/(1+'Table G'!$B$18))^5)/(1-((1+$A375)/(1+'Table G'!$B$18))))+('Table G'!$B$14+'Table G'!$B$15)*(1+$A375)^(5-1)*(1+'Table G'!$B$25)/(('Table G'!$B$18-'Table G'!$B$25)*(1+'Table G'!$B$18)^5),"")</f>
        <v>160687.47098662928</v>
      </c>
      <c r="C375" s="17">
        <f>IFERROR(('Table G'!$B$14+'Table G'!$B$15)/(1+'Table G'!$B$18)*IF(ABS(((1+$A375)/(1+'Table G'!$B$18))-1)&lt;0.000000001,10,(1-((1+$A375)/(1+'Table G'!$B$18))^10)/(1-((1+$A375)/(1+'Table G'!$B$18))))+('Table G'!$B$14+'Table G'!$B$15)*(1+$A375)^(10-1)*(1+'Table G'!$B$25)/(('Table G'!$B$18-'Table G'!$B$25)*(1+'Table G'!$B$18)^10),"")</f>
        <v>393814.10287632979</v>
      </c>
      <c r="D375" s="17">
        <f>IFERROR(('Table G'!$B$14+'Table G'!$B$15)/(1+'Table G'!$B$18)*IF(ABS(((1+$A375)/(1+'Table G'!$B$18))-1)&lt;0.000000001,5,(1-((1+$A375)/(1+'Table G'!$B$18))^5)/(1-((1+$A375)/(1+'Table G'!$B$18))))+('Table G'!$B$14+'Table G'!$B$15)*(1+$A375)^(5-1)*(1+'Table G'!$B$26)/(('Table G'!$B$18-'Table G'!$B$26)*(1+'Table G'!$B$18)^5),"")</f>
        <v>171692.73856443542</v>
      </c>
      <c r="E375" s="17">
        <f>IFERROR(('Table G'!$B$14+'Table G'!$B$15)/(1+'Table G'!$B$18)*IF(ABS(((1+$A375)/(1+'Table G'!$B$18))-1)&lt;0.000000001,10,(1-((1+$A375)/(1+'Table G'!$B$18))^10)/(1-((1+$A375)/(1+'Table G'!$B$18))))+('Table G'!$B$14+'Table G'!$B$15)*(1+$A375)^(10-1)*(1+'Table G'!$B$26)/(('Table G'!$B$18-'Table G'!$B$26)*(1+'Table G'!$B$18)^10),"")</f>
        <v>418606.3570247204</v>
      </c>
      <c r="F375" s="17">
        <f>IFERROR(('Table G'!$B$14+'Table G'!$B$15)/(1+'Table G'!$B$18)*IF(ABS(((1+$A375)/(1+'Table G'!$B$18))-1)&lt;0.000000001,5,(1-((1+$A375)/(1+'Table G'!$B$18))^5)/(1-((1+$A375)/(1+'Table G'!$B$18))))+('Table G'!$B$14+'Table G'!$B$15)*(1+$A375)^(5-1)*(1+'Table G'!$B$27)/(('Table G'!$B$18-'Table G'!$B$27)*(1+'Table G'!$B$18)^5),"")</f>
        <v>184613.81442030173</v>
      </c>
      <c r="G375" s="17">
        <f>IFERROR(('Table G'!$B$14+'Table G'!$B$15)/(1+'Table G'!$B$18)*IF(ABS(((1+$A375)/(1+'Table G'!$B$18))-1)&lt;0.000000001,10,(1-((1+$A375)/(1+'Table G'!$B$18))^10)/(1-((1+$A375)/(1+'Table G'!$B$18))))+('Table G'!$B$14+'Table G'!$B$15)*(1+$A375)^(10-1)*(1+'Table G'!$B$27)/(('Table G'!$B$18-'Table G'!$B$27)*(1+'Table G'!$B$18)^10),"")</f>
        <v>447714.47222723404</v>
      </c>
    </row>
    <row r="376" spans="1:7" x14ac:dyDescent="0.2">
      <c r="A376" s="8">
        <f>-0.1+372*$B$2</f>
        <v>0.27200000000000002</v>
      </c>
      <c r="B376" s="17">
        <f>IFERROR(('Table G'!$B$14+'Table G'!$B$15)/(1+'Table G'!$B$18)*IF(ABS(((1+$A376)/(1+'Table G'!$B$18))-1)&lt;0.000000001,5,(1-((1+$A376)/(1+'Table G'!$B$18))^5)/(1-((1+$A376)/(1+'Table G'!$B$18))))+('Table G'!$B$14+'Table G'!$B$15)*(1+$A376)^(5-1)*(1+'Table G'!$B$25)/(('Table G'!$B$18-'Table G'!$B$25)*(1+'Table G'!$B$18)^5),"")</f>
        <v>161151.66944097253</v>
      </c>
      <c r="C376" s="17">
        <f>IFERROR(('Table G'!$B$14+'Table G'!$B$15)/(1+'Table G'!$B$18)*IF(ABS(((1+$A376)/(1+'Table G'!$B$18))-1)&lt;0.000000001,10,(1-((1+$A376)/(1+'Table G'!$B$18))^10)/(1-((1+$A376)/(1+'Table G'!$B$18))))+('Table G'!$B$14+'Table G'!$B$15)*(1+$A376)^(10-1)*(1+'Table G'!$B$25)/(('Table G'!$B$18-'Table G'!$B$25)*(1+'Table G'!$B$18)^10),"")</f>
        <v>396348.40139779047</v>
      </c>
      <c r="D376" s="17">
        <f>IFERROR(('Table G'!$B$14+'Table G'!$B$15)/(1+'Table G'!$B$18)*IF(ABS(((1+$A376)/(1+'Table G'!$B$18))-1)&lt;0.000000001,5,(1-((1+$A376)/(1+'Table G'!$B$18))^5)/(1-((1+$A376)/(1+'Table G'!$B$18))))+('Table G'!$B$14+'Table G'!$B$15)*(1+$A376)^(5-1)*(1+'Table G'!$B$26)/(('Table G'!$B$18-'Table G'!$B$26)*(1+'Table G'!$B$18)^5),"")</f>
        <v>172191.61290394742</v>
      </c>
      <c r="E376" s="17">
        <f>IFERROR(('Table G'!$B$14+'Table G'!$B$15)/(1+'Table G'!$B$18)*IF(ABS(((1+$A376)/(1+'Table G'!$B$18))-1)&lt;0.000000001,10,(1-((1+$A376)/(1+'Table G'!$B$18))^10)/(1-((1+$A376)/(1+'Table G'!$B$18))))+('Table G'!$B$14+'Table G'!$B$15)*(1+$A376)^(10-1)*(1+'Table G'!$B$26)/(('Table G'!$B$18-'Table G'!$B$26)*(1+'Table G'!$B$18)^10),"")</f>
        <v>421316.76396289229</v>
      </c>
      <c r="F376" s="17">
        <f>IFERROR(('Table G'!$B$14+'Table G'!$B$15)/(1+'Table G'!$B$18)*IF(ABS(((1+$A376)/(1+'Table G'!$B$18))-1)&lt;0.000000001,5,(1-((1+$A376)/(1+'Table G'!$B$18))^5)/(1-((1+$A376)/(1+'Table G'!$B$18))))+('Table G'!$B$14+'Table G'!$B$15)*(1+$A376)^(5-1)*(1+'Table G'!$B$27)/(('Table G'!$B$18-'Table G'!$B$27)*(1+'Table G'!$B$18)^5),"")</f>
        <v>185153.40105867121</v>
      </c>
      <c r="G376" s="17">
        <f>IFERROR(('Table G'!$B$14+'Table G'!$B$15)/(1+'Table G'!$B$18)*IF(ABS(((1+$A376)/(1+'Table G'!$B$18))-1)&lt;0.000000001,10,(1-((1+$A376)/(1+'Table G'!$B$18))^10)/(1-((1+$A376)/(1+'Table G'!$B$18))))+('Table G'!$B$14+'Table G'!$B$15)*(1+$A376)^(10-1)*(1+'Table G'!$B$27)/(('Table G'!$B$18-'Table G'!$B$27)*(1+'Table G'!$B$18)^10),"")</f>
        <v>450631.64471609308</v>
      </c>
    </row>
    <row r="377" spans="1:7" x14ac:dyDescent="0.2">
      <c r="A377" s="8">
        <f>-0.1+373*$B$2</f>
        <v>0.27300000000000002</v>
      </c>
      <c r="B377" s="17">
        <f>IFERROR(('Table G'!$B$14+'Table G'!$B$15)/(1+'Table G'!$B$18)*IF(ABS(((1+$A377)/(1+'Table G'!$B$18))-1)&lt;0.000000001,5,(1-((1+$A377)/(1+'Table G'!$B$18))^5)/(1-((1+$A377)/(1+'Table G'!$B$18))))+('Table G'!$B$14+'Table G'!$B$15)*(1+$A377)^(5-1)*(1+'Table G'!$B$25)/(('Table G'!$B$18-'Table G'!$B$25)*(1+'Table G'!$B$18)^5),"")</f>
        <v>161616.92526311058</v>
      </c>
      <c r="C377" s="17">
        <f>IFERROR(('Table G'!$B$14+'Table G'!$B$15)/(1+'Table G'!$B$18)*IF(ABS(((1+$A377)/(1+'Table G'!$B$18))-1)&lt;0.000000001,10,(1-((1+$A377)/(1+'Table G'!$B$18))^10)/(1-((1+$A377)/(1+'Table G'!$B$18))))+('Table G'!$B$14+'Table G'!$B$15)*(1+$A377)^(10-1)*(1+'Table G'!$B$25)/(('Table G'!$B$18-'Table G'!$B$25)*(1+'Table G'!$B$18)^10),"")</f>
        <v>398897.95807598217</v>
      </c>
      <c r="D377" s="17">
        <f>IFERROR(('Table G'!$B$14+'Table G'!$B$15)/(1+'Table G'!$B$18)*IF(ABS(((1+$A377)/(1+'Table G'!$B$18))-1)&lt;0.000000001,5,(1-((1+$A377)/(1+'Table G'!$B$18))^5)/(1-((1+$A377)/(1+'Table G'!$B$18))))+('Table G'!$B$14+'Table G'!$B$15)*(1+$A377)^(5-1)*(1+'Table G'!$B$26)/(('Table G'!$B$18-'Table G'!$B$26)*(1+'Table G'!$B$18)^5),"")</f>
        <v>172691.62649051577</v>
      </c>
      <c r="E377" s="17">
        <f>IFERROR(('Table G'!$B$14+'Table G'!$B$15)/(1+'Table G'!$B$18)*IF(ABS(((1+$A377)/(1+'Table G'!$B$18))-1)&lt;0.000000001,10,(1-((1+$A377)/(1+'Table G'!$B$18))^10)/(1-((1+$A377)/(1+'Table G'!$B$18))))+('Table G'!$B$14+'Table G'!$B$15)*(1+$A377)^(10-1)*(1+'Table G'!$B$26)/(('Table G'!$B$18-'Table G'!$B$26)*(1+'Table G'!$B$18)^10),"")</f>
        <v>424043.54014788871</v>
      </c>
      <c r="F377" s="17">
        <f>IFERROR(('Table G'!$B$14+'Table G'!$B$15)/(1+'Table G'!$B$18)*IF(ABS(((1+$A377)/(1+'Table G'!$B$18))-1)&lt;0.000000001,5,(1-((1+$A377)/(1+'Table G'!$B$18))^5)/(1-((1+$A377)/(1+'Table G'!$B$18))))+('Table G'!$B$14+'Table G'!$B$15)*(1+$A377)^(5-1)*(1+'Table G'!$B$27)/(('Table G'!$B$18-'Table G'!$B$27)*(1+'Table G'!$B$18)^5),"")</f>
        <v>185694.22307698461</v>
      </c>
      <c r="G377" s="17">
        <f>IFERROR(('Table G'!$B$14+'Table G'!$B$15)/(1+'Table G'!$B$18)*IF(ABS(((1+$A377)/(1+'Table G'!$B$18))-1)&lt;0.000000001,10,(1-((1+$A377)/(1+'Table G'!$B$18))^10)/(1-((1+$A377)/(1+'Table G'!$B$18))))+('Table G'!$B$14+'Table G'!$B$15)*(1+$A377)^(10-1)*(1+'Table G'!$B$27)/(('Table G'!$B$18-'Table G'!$B$27)*(1+'Table G'!$B$18)^10),"")</f>
        <v>453566.49096157379</v>
      </c>
    </row>
    <row r="378" spans="1:7" x14ac:dyDescent="0.2">
      <c r="A378" s="8">
        <f>-0.1+374*$B$2</f>
        <v>0.27400000000000002</v>
      </c>
      <c r="B378" s="17">
        <f>IFERROR(('Table G'!$B$14+'Table G'!$B$15)/(1+'Table G'!$B$18)*IF(ABS(((1+$A378)/(1+'Table G'!$B$18))-1)&lt;0.000000001,5,(1-((1+$A378)/(1+'Table G'!$B$18))^5)/(1-((1+$A378)/(1+'Table G'!$B$18))))+('Table G'!$B$14+'Table G'!$B$15)*(1+$A378)^(5-1)*(1+'Table G'!$B$25)/(('Table G'!$B$18-'Table G'!$B$25)*(1+'Table G'!$B$18)^5),"")</f>
        <v>162083.24008282152</v>
      </c>
      <c r="C378" s="17">
        <f>IFERROR(('Table G'!$B$14+'Table G'!$B$15)/(1+'Table G'!$B$18)*IF(ABS(((1+$A378)/(1+'Table G'!$B$18))-1)&lt;0.000000001,10,(1-((1+$A378)/(1+'Table G'!$B$18))^10)/(1-((1+$A378)/(1+'Table G'!$B$18))))+('Table G'!$B$14+'Table G'!$B$15)*(1+$A378)^(10-1)*(1+'Table G'!$B$25)/(('Table G'!$B$18-'Table G'!$B$25)*(1+'Table G'!$B$18)^10),"")</f>
        <v>401462.85470805172</v>
      </c>
      <c r="D378" s="17">
        <f>IFERROR(('Table G'!$B$14+'Table G'!$B$15)/(1+'Table G'!$B$18)*IF(ABS(((1+$A378)/(1+'Table G'!$B$18))-1)&lt;0.000000001,5,(1-((1+$A378)/(1+'Table G'!$B$18))^5)/(1-((1+$A378)/(1+'Table G'!$B$18))))+('Table G'!$B$14+'Table G'!$B$15)*(1+$A378)^(5-1)*(1+'Table G'!$B$26)/(('Table G'!$B$18-'Table G'!$B$26)*(1+'Table G'!$B$18)^5),"")</f>
        <v>173192.78108271019</v>
      </c>
      <c r="E378" s="17">
        <f>IFERROR(('Table G'!$B$14+'Table G'!$B$15)/(1+'Table G'!$B$18)*IF(ABS(((1+$A378)/(1+'Table G'!$B$18))-1)&lt;0.000000001,10,(1-((1+$A378)/(1+'Table G'!$B$18))^10)/(1-((1+$A378)/(1+'Table G'!$B$18))))+('Table G'!$B$14+'Table G'!$B$15)*(1+$A378)^(10-1)*(1+'Table G'!$B$26)/(('Table G'!$B$18-'Table G'!$B$26)*(1+'Table G'!$B$18)^10),"")</f>
        <v>426786.7735057816</v>
      </c>
      <c r="F378" s="17">
        <f>IFERROR(('Table G'!$B$14+'Table G'!$B$15)/(1+'Table G'!$B$18)*IF(ABS(((1+$A378)/(1+'Table G'!$B$18))-1)&lt;0.000000001,5,(1-((1+$A378)/(1+'Table G'!$B$18))^5)/(1-((1+$A378)/(1+'Table G'!$B$18))))+('Table G'!$B$14+'Table G'!$B$15)*(1+$A378)^(5-1)*(1+'Table G'!$B$27)/(('Table G'!$B$18-'Table G'!$B$27)*(1+'Table G'!$B$18)^5),"")</f>
        <v>186236.28238502325</v>
      </c>
      <c r="G378" s="17">
        <f>IFERROR(('Table G'!$B$14+'Table G'!$B$15)/(1+'Table G'!$B$18)*IF(ABS(((1+$A378)/(1+'Table G'!$B$18))-1)&lt;0.000000001,10,(1-((1+$A378)/(1+'Table G'!$B$18))^10)/(1-((1+$A378)/(1+'Table G'!$B$18))))+('Table G'!$B$14+'Table G'!$B$15)*(1+$A378)^(10-1)*(1+'Table G'!$B$27)/(('Table G'!$B$18-'Table G'!$B$27)*(1+'Table G'!$B$18)^10),"")</f>
        <v>456519.10608560371</v>
      </c>
    </row>
    <row r="379" spans="1:7" x14ac:dyDescent="0.2">
      <c r="A379" s="8">
        <f>-0.1+375*$B$2</f>
        <v>0.27500000000000002</v>
      </c>
      <c r="B379" s="17">
        <f>IFERROR(('Table G'!$B$14+'Table G'!$B$15)/(1+'Table G'!$B$18)*IF(ABS(((1+$A379)/(1+'Table G'!$B$18))-1)&lt;0.000000001,5,(1-((1+$A379)/(1+'Table G'!$B$18))^5)/(1-((1+$A379)/(1+'Table G'!$B$18))))+('Table G'!$B$14+'Table G'!$B$15)*(1+$A379)^(5-1)*(1+'Table G'!$B$25)/(('Table G'!$B$18-'Table G'!$B$25)*(1+'Table G'!$B$18)^5),"")</f>
        <v>162550.61553114769</v>
      </c>
      <c r="C379" s="17">
        <f>IFERROR(('Table G'!$B$14+'Table G'!$B$15)/(1+'Table G'!$B$18)*IF(ABS(((1+$A379)/(1+'Table G'!$B$18))-1)&lt;0.000000001,10,(1-((1+$A379)/(1+'Table G'!$B$18))^10)/(1-((1+$A379)/(1+'Table G'!$B$18))))+('Table G'!$B$14+'Table G'!$B$15)*(1+$A379)^(10-1)*(1+'Table G'!$B$25)/(('Table G'!$B$18-'Table G'!$B$25)*(1+'Table G'!$B$18)^10),"")</f>
        <v>404043.1734701168</v>
      </c>
      <c r="D379" s="17">
        <f>IFERROR(('Table G'!$B$14+'Table G'!$B$15)/(1+'Table G'!$B$18)*IF(ABS(((1+$A379)/(1+'Table G'!$B$18))-1)&lt;0.000000001,5,(1-((1+$A379)/(1+'Table G'!$B$18))^5)/(1-((1+$A379)/(1+'Table G'!$B$18))))+('Table G'!$B$14+'Table G'!$B$15)*(1+$A379)^(5-1)*(1+'Table G'!$B$26)/(('Table G'!$B$18-'Table G'!$B$26)*(1+'Table G'!$B$18)^5),"")</f>
        <v>173695.07844046579</v>
      </c>
      <c r="E379" s="17">
        <f>IFERROR(('Table G'!$B$14+'Table G'!$B$15)/(1+'Table G'!$B$18)*IF(ABS(((1+$A379)/(1+'Table G'!$B$18))-1)&lt;0.000000001,10,(1-((1+$A379)/(1+'Table G'!$B$18))^10)/(1-((1+$A379)/(1+'Table G'!$B$18))))+('Table G'!$B$14+'Table G'!$B$15)*(1+$A379)^(10-1)*(1+'Table G'!$B$26)/(('Table G'!$B$18-'Table G'!$B$26)*(1+'Table G'!$B$18)^10),"")</f>
        <v>429546.55237057013</v>
      </c>
      <c r="F379" s="17">
        <f>IFERROR(('Table G'!$B$14+'Table G'!$B$15)/(1+'Table G'!$B$18)*IF(ABS(((1+$A379)/(1+'Table G'!$B$18))-1)&lt;0.000000001,5,(1-((1+$A379)/(1+'Table G'!$B$18))^5)/(1-((1+$A379)/(1+'Table G'!$B$18))))+('Table G'!$B$14+'Table G'!$B$15)*(1+$A379)^(5-1)*(1+'Table G'!$B$27)/(('Table G'!$B$18-'Table G'!$B$27)*(1+'Table G'!$B$18)^5),"")</f>
        <v>186779.58089405295</v>
      </c>
      <c r="G379" s="17">
        <f>IFERROR(('Table G'!$B$14+'Table G'!$B$15)/(1+'Table G'!$B$18)*IF(ABS(((1+$A379)/(1+'Table G'!$B$18))-1)&lt;0.000000001,10,(1-((1+$A379)/(1+'Table G'!$B$18))^10)/(1-((1+$A379)/(1+'Table G'!$B$18))))+('Table G'!$B$14+'Table G'!$B$15)*(1+$A379)^(10-1)*(1+'Table G'!$B$27)/(('Table G'!$B$18-'Table G'!$B$27)*(1+'Table G'!$B$18)^10),"")</f>
        <v>459489.58565203322</v>
      </c>
    </row>
    <row r="380" spans="1:7" x14ac:dyDescent="0.2">
      <c r="A380" s="8">
        <f>-0.1+376*$B$2</f>
        <v>0.27600000000000002</v>
      </c>
      <c r="B380" s="17">
        <f>IFERROR(('Table G'!$B$14+'Table G'!$B$15)/(1+'Table G'!$B$18)*IF(ABS(((1+$A380)/(1+'Table G'!$B$18))-1)&lt;0.000000001,5,(1-((1+$A380)/(1+'Table G'!$B$18))^5)/(1-((1+$A380)/(1+'Table G'!$B$18))))+('Table G'!$B$14+'Table G'!$B$15)*(1+$A380)^(5-1)*(1+'Table G'!$B$25)/(('Table G'!$B$18-'Table G'!$B$25)*(1+'Table G'!$B$18)^5),"")</f>
        <v>163019.05324039547</v>
      </c>
      <c r="C380" s="17">
        <f>IFERROR(('Table G'!$B$14+'Table G'!$B$15)/(1+'Table G'!$B$18)*IF(ABS(((1+$A380)/(1+'Table G'!$B$18))-1)&lt;0.000000001,10,(1-((1+$A380)/(1+'Table G'!$B$18))^10)/(1-((1+$A380)/(1+'Table G'!$B$18))))+('Table G'!$B$14+'Table G'!$B$15)*(1+$A380)^(10-1)*(1+'Table G'!$B$25)/(('Table G'!$B$18-'Table G'!$B$25)*(1+'Table G'!$B$18)^10),"")</f>
        <v>406638.99691873457</v>
      </c>
      <c r="D380" s="17">
        <f>IFERROR(('Table G'!$B$14+'Table G'!$B$15)/(1+'Table G'!$B$18)*IF(ABS(((1+$A380)/(1+'Table G'!$B$18))-1)&lt;0.000000001,5,(1-((1+$A380)/(1+'Table G'!$B$18))^5)/(1-((1+$A380)/(1+'Table G'!$B$18))))+('Table G'!$B$14+'Table G'!$B$15)*(1+$A380)^(5-1)*(1+'Table G'!$B$26)/(('Table G'!$B$18-'Table G'!$B$26)*(1+'Table G'!$B$18)^5),"")</f>
        <v>174198.52032508297</v>
      </c>
      <c r="E380" s="17">
        <f>IFERROR(('Table G'!$B$14+'Table G'!$B$15)/(1+'Table G'!$B$18)*IF(ABS(((1+$A380)/(1+'Table G'!$B$18))-1)&lt;0.000000001,10,(1-((1+$A380)/(1+'Table G'!$B$18))^10)/(1-((1+$A380)/(1+'Table G'!$B$18))))+('Table G'!$B$14+'Table G'!$B$15)*(1+$A380)^(10-1)*(1+'Table G'!$B$26)/(('Table G'!$B$18-'Table G'!$B$26)*(1+'Table G'!$B$18)^10),"")</f>
        <v>432322.96548576164</v>
      </c>
      <c r="F380" s="17">
        <f>IFERROR(('Table G'!$B$14+'Table G'!$B$15)/(1+'Table G'!$B$18)*IF(ABS(((1+$A380)/(1+'Table G'!$B$18))-1)&lt;0.000000001,5,(1-((1+$A380)/(1+'Table G'!$B$18))^5)/(1-((1+$A380)/(1+'Table G'!$B$18))))+('Table G'!$B$14+'Table G'!$B$15)*(1+$A380)^(5-1)*(1+'Table G'!$B$27)/(('Table G'!$B$18-'Table G'!$B$27)*(1+'Table G'!$B$18)^5),"")</f>
        <v>187324.12051682346</v>
      </c>
      <c r="G380" s="17">
        <f>IFERROR(('Table G'!$B$14+'Table G'!$B$15)/(1+'Table G'!$B$18)*IF(ABS(((1+$A380)/(1+'Table G'!$B$18))-1)&lt;0.000000001,10,(1-((1+$A380)/(1+'Table G'!$B$18))^10)/(1-((1+$A380)/(1+'Table G'!$B$18))))+('Table G'!$B$14+'Table G'!$B$15)*(1+$A380)^(10-1)*(1+'Table G'!$B$27)/(('Table G'!$B$18-'Table G'!$B$27)*(1+'Table G'!$B$18)^10),"")</f>
        <v>462478.02566835081</v>
      </c>
    </row>
    <row r="381" spans="1:7" x14ac:dyDescent="0.2">
      <c r="A381" s="8">
        <f>-0.1+377*$B$2</f>
        <v>0.27700000000000002</v>
      </c>
      <c r="B381" s="17">
        <f>IFERROR(('Table G'!$B$14+'Table G'!$B$15)/(1+'Table G'!$B$18)*IF(ABS(((1+$A381)/(1+'Table G'!$B$18))-1)&lt;0.000000001,5,(1-((1+$A381)/(1+'Table G'!$B$18))^5)/(1-((1+$A381)/(1+'Table G'!$B$18))))+('Table G'!$B$14+'Table G'!$B$15)*(1+$A381)^(5-1)*(1+'Table G'!$B$25)/(('Table G'!$B$18-'Table G'!$B$25)*(1+'Table G'!$B$18)^5),"")</f>
        <v>163488.55484413498</v>
      </c>
      <c r="C381" s="17">
        <f>IFERROR(('Table G'!$B$14+'Table G'!$B$15)/(1+'Table G'!$B$18)*IF(ABS(((1+$A381)/(1+'Table G'!$B$18))-1)&lt;0.000000001,10,(1-((1+$A381)/(1+'Table G'!$B$18))^10)/(1-((1+$A381)/(1+'Table G'!$B$18))))+('Table G'!$B$14+'Table G'!$B$15)*(1+$A381)^(10-1)*(1+'Table G'!$B$25)/(('Table G'!$B$18-'Table G'!$B$25)*(1+'Table G'!$B$18)^10),"")</f>
        <v>409250.40799237485</v>
      </c>
      <c r="D381" s="17">
        <f>IFERROR(('Table G'!$B$14+'Table G'!$B$15)/(1+'Table G'!$B$18)*IF(ABS(((1+$A381)/(1+'Table G'!$B$18))-1)&lt;0.000000001,5,(1-((1+$A381)/(1+'Table G'!$B$18))^5)/(1-((1+$A381)/(1+'Table G'!$B$18))))+('Table G'!$B$14+'Table G'!$B$15)*(1+$A381)^(5-1)*(1+'Table G'!$B$26)/(('Table G'!$B$18-'Table G'!$B$26)*(1+'Table G'!$B$18)^5),"")</f>
        <v>174703.10849922703</v>
      </c>
      <c r="E381" s="17">
        <f>IFERROR(('Table G'!$B$14+'Table G'!$B$15)/(1+'Table G'!$B$18)*IF(ABS(((1+$A381)/(1+'Table G'!$B$18))-1)&lt;0.000000001,10,(1-((1+$A381)/(1+'Table G'!$B$18))^10)/(1-((1+$A381)/(1+'Table G'!$B$18))))+('Table G'!$B$14+'Table G'!$B$15)*(1+$A381)^(10-1)*(1+'Table G'!$B$26)/(('Table G'!$B$18-'Table G'!$B$26)*(1+'Table G'!$B$18)^10),"")</f>
        <v>435116.10200596025</v>
      </c>
      <c r="F381" s="17">
        <f>IFERROR(('Table G'!$B$14+'Table G'!$B$15)/(1+'Table G'!$B$18)*IF(ABS(((1+$A381)/(1+'Table G'!$B$18))-1)&lt;0.000000001,5,(1-((1+$A381)/(1+'Table G'!$B$18))^5)/(1-((1+$A381)/(1+'Table G'!$B$18))))+('Table G'!$B$14+'Table G'!$B$15)*(1+$A381)^(5-1)*(1+'Table G'!$B$27)/(('Table G'!$B$18-'Table G'!$B$27)*(1+'Table G'!$B$18)^5),"")</f>
        <v>187869.90316756826</v>
      </c>
      <c r="G381" s="17">
        <f>IFERROR(('Table G'!$B$14+'Table G'!$B$15)/(1+'Table G'!$B$18)*IF(ABS(((1+$A381)/(1+'Table G'!$B$18))-1)&lt;0.000000001,10,(1-((1+$A381)/(1+'Table G'!$B$18))^10)/(1-((1+$A381)/(1+'Table G'!$B$18))))+('Table G'!$B$14+'Table G'!$B$15)*(1+$A381)^(10-1)*(1+'Table G'!$B$27)/(('Table G'!$B$18-'Table G'!$B$27)*(1+'Table G'!$B$18)^10),"")</f>
        <v>465484.52258740575</v>
      </c>
    </row>
    <row r="382" spans="1:7" x14ac:dyDescent="0.2">
      <c r="A382" s="8">
        <f>-0.1+378*$B$2</f>
        <v>0.27800000000000002</v>
      </c>
      <c r="B382" s="17">
        <f>IFERROR(('Table G'!$B$14+'Table G'!$B$15)/(1+'Table G'!$B$18)*IF(ABS(((1+$A382)/(1+'Table G'!$B$18))-1)&lt;0.000000001,5,(1-((1+$A382)/(1+'Table G'!$B$18))^5)/(1-((1+$A382)/(1+'Table G'!$B$18))))+('Table G'!$B$14+'Table G'!$B$15)*(1+$A382)^(5-1)*(1+'Table G'!$B$25)/(('Table G'!$B$18-'Table G'!$B$25)*(1+'Table G'!$B$18)^5),"")</f>
        <v>163959.12197720038</v>
      </c>
      <c r="C382" s="17">
        <f>IFERROR(('Table G'!$B$14+'Table G'!$B$15)/(1+'Table G'!$B$18)*IF(ABS(((1+$A382)/(1+'Table G'!$B$18))-1)&lt;0.000000001,10,(1-((1+$A382)/(1+'Table G'!$B$18))^10)/(1-((1+$A382)/(1+'Table G'!$B$18))))+('Table G'!$B$14+'Table G'!$B$15)*(1+$A382)^(10-1)*(1+'Table G'!$B$25)/(('Table G'!$B$18-'Table G'!$B$25)*(1+'Table G'!$B$18)^10),"")</f>
        <v>411877.49001289951</v>
      </c>
      <c r="D382" s="17">
        <f>IFERROR(('Table G'!$B$14+'Table G'!$B$15)/(1+'Table G'!$B$18)*IF(ABS(((1+$A382)/(1+'Table G'!$B$18))-1)&lt;0.000000001,5,(1-((1+$A382)/(1+'Table G'!$B$18))^5)/(1-((1+$A382)/(1+'Table G'!$B$18))))+('Table G'!$B$14+'Table G'!$B$15)*(1+$A382)^(5-1)*(1+'Table G'!$B$26)/(('Table G'!$B$18-'Table G'!$B$26)*(1+'Table G'!$B$18)^5),"")</f>
        <v>175208.84472692854</v>
      </c>
      <c r="E382" s="17">
        <f>IFERROR(('Table G'!$B$14+'Table G'!$B$15)/(1+'Table G'!$B$18)*IF(ABS(((1+$A382)/(1+'Table G'!$B$18))-1)&lt;0.000000001,10,(1-((1+$A382)/(1+'Table G'!$B$18))^10)/(1-((1+$A382)/(1+'Table G'!$B$18))))+('Table G'!$B$14+'Table G'!$B$15)*(1+$A382)^(10-1)*(1+'Table G'!$B$26)/(('Table G'!$B$18-'Table G'!$B$26)*(1+'Table G'!$B$18)^10),"")</f>
        <v>437926.05149846</v>
      </c>
      <c r="F382" s="17">
        <f>IFERROR(('Table G'!$B$14+'Table G'!$B$15)/(1+'Table G'!$B$18)*IF(ABS(((1+$A382)/(1+'Table G'!$B$18))-1)&lt;0.000000001,5,(1-((1+$A382)/(1+'Table G'!$B$18))^5)/(1-((1+$A382)/(1+'Table G'!$B$18))))+('Table G'!$B$14+'Table G'!$B$15)*(1+$A382)^(5-1)*(1+'Table G'!$B$27)/(('Table G'!$B$18-'Table G'!$B$27)*(1+'Table G'!$B$18)^5),"")</f>
        <v>188416.93076200507</v>
      </c>
      <c r="G382" s="17">
        <f>IFERROR(('Table G'!$B$14+'Table G'!$B$15)/(1+'Table G'!$B$18)*IF(ABS(((1+$A382)/(1+'Table G'!$B$18))-1)&lt;0.000000001,10,(1-((1+$A382)/(1+'Table G'!$B$18))^10)/(1-((1+$A382)/(1+'Table G'!$B$18))))+('Table G'!$B$14+'Table G'!$B$15)*(1+$A382)^(10-1)*(1+'Table G'!$B$27)/(('Table G'!$B$18-'Table G'!$B$27)*(1+'Table G'!$B$18)^10),"")</f>
        <v>468509.17330913572</v>
      </c>
    </row>
    <row r="383" spans="1:7" x14ac:dyDescent="0.2">
      <c r="A383" s="8">
        <f>-0.1+379*$B$2</f>
        <v>0.27900000000000003</v>
      </c>
      <c r="B383" s="17">
        <f>IFERROR(('Table G'!$B$14+'Table G'!$B$15)/(1+'Table G'!$B$18)*IF(ABS(((1+$A383)/(1+'Table G'!$B$18))-1)&lt;0.000000001,5,(1-((1+$A383)/(1+'Table G'!$B$18))^5)/(1-((1+$A383)/(1+'Table G'!$B$18))))+('Table G'!$B$14+'Table G'!$B$15)*(1+$A383)^(5-1)*(1+'Table G'!$B$25)/(('Table G'!$B$18-'Table G'!$B$25)*(1+'Table G'!$B$18)^5),"")</f>
        <v>164430.75627569019</v>
      </c>
      <c r="C383" s="17">
        <f>IFERROR(('Table G'!$B$14+'Table G'!$B$15)/(1+'Table G'!$B$18)*IF(ABS(((1+$A383)/(1+'Table G'!$B$18))-1)&lt;0.000000001,10,(1-((1+$A383)/(1+'Table G'!$B$18))^10)/(1-((1+$A383)/(1+'Table G'!$B$18))))+('Table G'!$B$14+'Table G'!$B$15)*(1+$A383)^(10-1)*(1+'Table G'!$B$25)/(('Table G'!$B$18-'Table G'!$B$25)*(1+'Table G'!$B$18)^10),"")</f>
        <v>414520.32668704807</v>
      </c>
      <c r="D383" s="17">
        <f>IFERROR(('Table G'!$B$14+'Table G'!$B$15)/(1+'Table G'!$B$18)*IF(ABS(((1+$A383)/(1+'Table G'!$B$18))-1)&lt;0.000000001,5,(1-((1+$A383)/(1+'Table G'!$B$18))^5)/(1-((1+$A383)/(1+'Table G'!$B$18))))+('Table G'!$B$14+'Table G'!$B$15)*(1+$A383)^(5-1)*(1+'Table G'!$B$26)/(('Table G'!$B$18-'Table G'!$B$26)*(1+'Table G'!$B$18)^5),"")</f>
        <v>175715.73077358361</v>
      </c>
      <c r="E383" s="17">
        <f>IFERROR(('Table G'!$B$14+'Table G'!$B$15)/(1+'Table G'!$B$18)*IF(ABS(((1+$A383)/(1+'Table G'!$B$18))-1)&lt;0.000000001,10,(1-((1+$A383)/(1+'Table G'!$B$18))^10)/(1-((1+$A383)/(1+'Table G'!$B$18))))+('Table G'!$B$14+'Table G'!$B$15)*(1+$A383)^(10-1)*(1+'Table G'!$B$26)/(('Table G'!$B$18-'Table G'!$B$26)*(1+'Table G'!$B$18)^10),"")</f>
        <v>440752.90394484636</v>
      </c>
      <c r="F383" s="17">
        <f>IFERROR(('Table G'!$B$14+'Table G'!$B$15)/(1+'Table G'!$B$18)*IF(ABS(((1+$A383)/(1+'Table G'!$B$18))-1)&lt;0.000000001,5,(1-((1+$A383)/(1+'Table G'!$B$18))^5)/(1-((1+$A383)/(1+'Table G'!$B$18))))+('Table G'!$B$14+'Table G'!$B$15)*(1+$A383)^(5-1)*(1+'Table G'!$B$27)/(('Table G'!$B$18-'Table G'!$B$27)*(1+'Table G'!$B$18)^5),"")</f>
        <v>188965.20521733584</v>
      </c>
      <c r="G383" s="17">
        <f>IFERROR(('Table G'!$B$14+'Table G'!$B$15)/(1+'Table G'!$B$18)*IF(ABS(((1+$A383)/(1+'Table G'!$B$18))-1)&lt;0.000000001,10,(1-((1+$A383)/(1+'Table G'!$B$18))^10)/(1-((1+$A383)/(1+'Table G'!$B$18))))+('Table G'!$B$14+'Table G'!$B$15)*(1+$A383)^(10-1)*(1+'Table G'!$B$27)/(('Table G'!$B$18-'Table G'!$B$27)*(1+'Table G'!$B$18)^10),"")</f>
        <v>471552.07518230326</v>
      </c>
    </row>
    <row r="384" spans="1:7" x14ac:dyDescent="0.2">
      <c r="A384" s="8">
        <f>-0.1+380*$B$2</f>
        <v>0.28000000000000003</v>
      </c>
      <c r="B384" s="17">
        <f>IFERROR(('Table G'!$B$14+'Table G'!$B$15)/(1+'Table G'!$B$18)*IF(ABS(((1+$A384)/(1+'Table G'!$B$18))-1)&lt;0.000000001,5,(1-((1+$A384)/(1+'Table G'!$B$18))^5)/(1-((1+$A384)/(1+'Table G'!$B$18))))+('Table G'!$B$14+'Table G'!$B$15)*(1+$A384)^(5-1)*(1+'Table G'!$B$25)/(('Table G'!$B$18-'Table G'!$B$25)*(1+'Table G'!$B$18)^5),"")</f>
        <v>164903.4593769667</v>
      </c>
      <c r="C384" s="17">
        <f>IFERROR(('Table G'!$B$14+'Table G'!$B$15)/(1+'Table G'!$B$18)*IF(ABS(((1+$A384)/(1+'Table G'!$B$18))-1)&lt;0.000000001,10,(1-((1+$A384)/(1+'Table G'!$B$18))^10)/(1-((1+$A384)/(1+'Table G'!$B$18))))+('Table G'!$B$14+'Table G'!$B$15)*(1+$A384)^(10-1)*(1+'Table G'!$B$25)/(('Table G'!$B$18-'Table G'!$B$25)*(1+'Table G'!$B$18)^10),"")</f>
        <v>417179.00210792321</v>
      </c>
      <c r="D384" s="17">
        <f>IFERROR(('Table G'!$B$14+'Table G'!$B$15)/(1+'Table G'!$B$18)*IF(ABS(((1+$A384)/(1+'Table G'!$B$18))-1)&lt;0.000000001,5,(1-((1+$A384)/(1+'Table G'!$B$18))^5)/(1-((1+$A384)/(1+'Table G'!$B$18))))+('Table G'!$B$14+'Table G'!$B$15)*(1+$A384)^(5-1)*(1+'Table G'!$B$26)/(('Table G'!$B$18-'Table G'!$B$26)*(1+'Table G'!$B$18)^5),"")</f>
        <v>176223.76840595342</v>
      </c>
      <c r="E384" s="17">
        <f>IFERROR(('Table G'!$B$14+'Table G'!$B$15)/(1+'Table G'!$B$18)*IF(ABS(((1+$A384)/(1+'Table G'!$B$18))-1)&lt;0.000000001,10,(1-((1+$A384)/(1+'Table G'!$B$18))^10)/(1-((1+$A384)/(1+'Table G'!$B$18))))+('Table G'!$B$14+'Table G'!$B$15)*(1+$A384)^(10-1)*(1+'Table G'!$B$26)/(('Table G'!$B$18-'Table G'!$B$26)*(1+'Table G'!$B$18)^10),"")</f>
        <v>443596.74974259594</v>
      </c>
      <c r="F384" s="17">
        <f>IFERROR(('Table G'!$B$14+'Table G'!$B$15)/(1+'Table G'!$B$18)*IF(ABS(((1+$A384)/(1+'Table G'!$B$18))-1)&lt;0.000000001,5,(1-((1+$A384)/(1+'Table G'!$B$18))^5)/(1-((1+$A384)/(1+'Table G'!$B$18))))+('Table G'!$B$14+'Table G'!$B$15)*(1+$A384)^(5-1)*(1+'Table G'!$B$27)/(('Table G'!$B$18-'Table G'!$B$27)*(1+'Table G'!$B$18)^5),"")</f>
        <v>189514.72845224649</v>
      </c>
      <c r="G384" s="17">
        <f>IFERROR(('Table G'!$B$14+'Table G'!$B$15)/(1+'Table G'!$B$18)*IF(ABS(((1+$A384)/(1+'Table G'!$B$18))-1)&lt;0.000000001,10,(1-((1+$A384)/(1+'Table G'!$B$18))^10)/(1-((1+$A384)/(1+'Table G'!$B$18))))+('Table G'!$B$14+'Table G'!$B$15)*(1+$A384)^(10-1)*(1+'Table G'!$B$27)/(('Table G'!$B$18-'Table G'!$B$27)*(1+'Table G'!$B$18)^10),"")</f>
        <v>474613.32600623142</v>
      </c>
    </row>
    <row r="385" spans="1:7" x14ac:dyDescent="0.2">
      <c r="A385" s="8">
        <f>-0.1+381*$B$2</f>
        <v>0.28100000000000003</v>
      </c>
      <c r="B385" s="17">
        <f>IFERROR(('Table G'!$B$14+'Table G'!$B$15)/(1+'Table G'!$B$18)*IF(ABS(((1+$A385)/(1+'Table G'!$B$18))-1)&lt;0.000000001,5,(1-((1+$A385)/(1+'Table G'!$B$18))^5)/(1-((1+$A385)/(1+'Table G'!$B$18))))+('Table G'!$B$14+'Table G'!$B$15)*(1+$A385)^(5-1)*(1+'Table G'!$B$25)/(('Table G'!$B$18-'Table G'!$B$25)*(1+'Table G'!$B$18)^5),"")</f>
        <v>165377.23291965626</v>
      </c>
      <c r="C385" s="17">
        <f>IFERROR(('Table G'!$B$14+'Table G'!$B$15)/(1+'Table G'!$B$18)*IF(ABS(((1+$A385)/(1+'Table G'!$B$18))-1)&lt;0.000000001,10,(1-((1+$A385)/(1+'Table G'!$B$18))^10)/(1-((1+$A385)/(1+'Table G'!$B$18))))+('Table G'!$B$14+'Table G'!$B$15)*(1+$A385)^(10-1)*(1+'Table G'!$B$25)/(('Table G'!$B$18-'Table G'!$B$25)*(1+'Table G'!$B$18)^10),"")</f>
        <v>419853.60075648373</v>
      </c>
      <c r="D385" s="17">
        <f>IFERROR(('Table G'!$B$14+'Table G'!$B$15)/(1+'Table G'!$B$18)*IF(ABS(((1+$A385)/(1+'Table G'!$B$18))-1)&lt;0.000000001,5,(1-((1+$A385)/(1+'Table G'!$B$18))^5)/(1-((1+$A385)/(1+'Table G'!$B$18))))+('Table G'!$B$14+'Table G'!$B$15)*(1+$A385)^(5-1)*(1+'Table G'!$B$26)/(('Table G'!$B$18-'Table G'!$B$26)*(1+'Table G'!$B$18)^5),"")</f>
        <v>176732.95939216437</v>
      </c>
      <c r="E385" s="17">
        <f>IFERROR(('Table G'!$B$14+'Table G'!$B$15)/(1+'Table G'!$B$18)*IF(ABS(((1+$A385)/(1+'Table G'!$B$18))-1)&lt;0.000000001,10,(1-((1+$A385)/(1+'Table G'!$B$18))^10)/(1-((1+$A385)/(1+'Table G'!$B$18))))+('Table G'!$B$14+'Table G'!$B$15)*(1+$A385)^(10-1)*(1+'Table G'!$B$26)/(('Table G'!$B$18-'Table G'!$B$26)*(1+'Table G'!$B$18)^10),"")</f>
        <v>446457.67970668641</v>
      </c>
      <c r="F385" s="17">
        <f>IFERROR(('Table G'!$B$14+'Table G'!$B$15)/(1+'Table G'!$B$18)*IF(ABS(((1+$A385)/(1+'Table G'!$B$18))-1)&lt;0.000000001,5,(1-((1+$A385)/(1+'Table G'!$B$18))^5)/(1-((1+$A385)/(1+'Table G'!$B$18))))+('Table G'!$B$14+'Table G'!$B$15)*(1+$A385)^(5-1)*(1+'Table G'!$B$27)/(('Table G'!$B$18-'Table G'!$B$27)*(1+'Table G'!$B$18)^5),"")</f>
        <v>190065.50238690694</v>
      </c>
      <c r="G385" s="17">
        <f>IFERROR(('Table G'!$B$14+'Table G'!$B$15)/(1+'Table G'!$B$18)*IF(ABS(((1+$A385)/(1+'Table G'!$B$18))-1)&lt;0.000000001,10,(1-((1+$A385)/(1+'Table G'!$B$18))^10)/(1-((1+$A385)/(1+'Table G'!$B$18))))+('Table G'!$B$14+'Table G'!$B$15)*(1+$A385)^(10-1)*(1+'Table G'!$B$27)/(('Table G'!$B$18-'Table G'!$B$27)*(1+'Table G'!$B$18)^10),"")</f>
        <v>477693.02403254883</v>
      </c>
    </row>
    <row r="386" spans="1:7" x14ac:dyDescent="0.2">
      <c r="A386" s="8">
        <f>-0.1+382*$B$2</f>
        <v>0.28200000000000003</v>
      </c>
      <c r="B386" s="17">
        <f>IFERROR(('Table G'!$B$14+'Table G'!$B$15)/(1+'Table G'!$B$18)*IF(ABS(((1+$A386)/(1+'Table G'!$B$18))-1)&lt;0.000000001,5,(1-((1+$A386)/(1+'Table G'!$B$18))^5)/(1-((1+$A386)/(1+'Table G'!$B$18))))+('Table G'!$B$14+'Table G'!$B$15)*(1+$A386)^(5-1)*(1+'Table G'!$B$25)/(('Table G'!$B$18-'Table G'!$B$25)*(1+'Table G'!$B$18)^5),"")</f>
        <v>165852.07854364903</v>
      </c>
      <c r="C386" s="17">
        <f>IFERROR(('Table G'!$B$14+'Table G'!$B$15)/(1+'Table G'!$B$18)*IF(ABS(((1+$A386)/(1+'Table G'!$B$18))-1)&lt;0.000000001,10,(1-((1+$A386)/(1+'Table G'!$B$18))^10)/(1-((1+$A386)/(1+'Table G'!$B$18))))+('Table G'!$B$14+'Table G'!$B$15)*(1+$A386)^(10-1)*(1+'Table G'!$B$25)/(('Table G'!$B$18-'Table G'!$B$25)*(1+'Table G'!$B$18)^10),"")</f>
        <v>422544.20750304189</v>
      </c>
      <c r="D386" s="17">
        <f>IFERROR(('Table G'!$B$14+'Table G'!$B$15)/(1+'Table G'!$B$18)*IF(ABS(((1+$A386)/(1+'Table G'!$B$18))-1)&lt;0.000000001,5,(1-((1+$A386)/(1+'Table G'!$B$18))^5)/(1-((1+$A386)/(1+'Table G'!$B$18))))+('Table G'!$B$14+'Table G'!$B$15)*(1+$A386)^(5-1)*(1+'Table G'!$B$26)/(('Table G'!$B$18-'Table G'!$B$26)*(1+'Table G'!$B$18)^5),"")</f>
        <v>177243.30550170792</v>
      </c>
      <c r="E386" s="17">
        <f>IFERROR(('Table G'!$B$14+'Table G'!$B$15)/(1+'Table G'!$B$18)*IF(ABS(((1+$A386)/(1+'Table G'!$B$18))-1)&lt;0.000000001,10,(1-((1+$A386)/(1+'Table G'!$B$18))^10)/(1-((1+$A386)/(1+'Table G'!$B$18))))+('Table G'!$B$14+'Table G'!$B$15)*(1+$A386)^(10-1)*(1+'Table G'!$B$26)/(('Table G'!$B$18-'Table G'!$B$26)*(1+'Table G'!$B$18)^10),"")</f>
        <v>449335.78507120878</v>
      </c>
      <c r="F386" s="17">
        <f>IFERROR(('Table G'!$B$14+'Table G'!$B$15)/(1+'Table G'!$B$18)*IF(ABS(((1+$A386)/(1+'Table G'!$B$18))-1)&lt;0.000000001,5,(1-((1+$A386)/(1+'Table G'!$B$18))^5)/(1-((1+$A386)/(1+'Table G'!$B$18))))+('Table G'!$B$14+'Table G'!$B$15)*(1+$A386)^(5-1)*(1+'Table G'!$B$27)/(('Table G'!$B$18-'Table G'!$B$27)*(1+'Table G'!$B$18)^5),"")</f>
        <v>190617.52894297102</v>
      </c>
      <c r="G386" s="17">
        <f>IFERROR(('Table G'!$B$14+'Table G'!$B$15)/(1+'Table G'!$B$18)*IF(ABS(((1+$A386)/(1+'Table G'!$B$18))-1)&lt;0.000000001,10,(1-((1+$A386)/(1+'Table G'!$B$18))^10)/(1-((1+$A386)/(1+'Table G'!$B$18))))+('Table G'!$B$14+'Table G'!$B$15)*(1+$A386)^(10-1)*(1+'Table G'!$B$27)/(('Table G'!$B$18-'Table G'!$B$27)*(1+'Table G'!$B$18)^10),"")</f>
        <v>480791.26796693855</v>
      </c>
    </row>
    <row r="387" spans="1:7" x14ac:dyDescent="0.2">
      <c r="A387" s="8">
        <f>-0.1+383*$B$2</f>
        <v>0.28300000000000003</v>
      </c>
      <c r="B387" s="17">
        <f>IFERROR(('Table G'!$B$14+'Table G'!$B$15)/(1+'Table G'!$B$18)*IF(ABS(((1+$A387)/(1+'Table G'!$B$18))-1)&lt;0.000000001,5,(1-((1+$A387)/(1+'Table G'!$B$18))^5)/(1-((1+$A387)/(1+'Table G'!$B$18))))+('Table G'!$B$14+'Table G'!$B$15)*(1+$A387)^(5-1)*(1+'Table G'!$B$25)/(('Table G'!$B$18-'Table G'!$B$25)*(1+'Table G'!$B$18)^5),"")</f>
        <v>166327.99789009956</v>
      </c>
      <c r="C387" s="17">
        <f>IFERROR(('Table G'!$B$14+'Table G'!$B$15)/(1+'Table G'!$B$18)*IF(ABS(((1+$A387)/(1+'Table G'!$B$18))-1)&lt;0.000000001,10,(1-((1+$A387)/(1+'Table G'!$B$18))^10)/(1-((1+$A387)/(1+'Table G'!$B$18))))+('Table G'!$B$14+'Table G'!$B$15)*(1+$A387)^(10-1)*(1+'Table G'!$B$25)/(('Table G'!$B$18-'Table G'!$B$25)*(1+'Table G'!$B$18)^10),"")</f>
        <v>425250.90760876692</v>
      </c>
      <c r="D387" s="17">
        <f>IFERROR(('Table G'!$B$14+'Table G'!$B$15)/(1+'Table G'!$B$18)*IF(ABS(((1+$A387)/(1+'Table G'!$B$18))-1)&lt;0.000000001,5,(1-((1+$A387)/(1+'Table G'!$B$18))^5)/(1-((1+$A387)/(1+'Table G'!$B$18))))+('Table G'!$B$14+'Table G'!$B$15)*(1+$A387)^(5-1)*(1+'Table G'!$B$26)/(('Table G'!$B$18-'Table G'!$B$26)*(1+'Table G'!$B$18)^5),"")</f>
        <v>177754.808505441</v>
      </c>
      <c r="E387" s="17">
        <f>IFERROR(('Table G'!$B$14+'Table G'!$B$15)/(1+'Table G'!$B$18)*IF(ABS(((1+$A387)/(1+'Table G'!$B$18))-1)&lt;0.000000001,10,(1-((1+$A387)/(1+'Table G'!$B$18))^10)/(1-((1+$A387)/(1+'Table G'!$B$18))))+('Table G'!$B$14+'Table G'!$B$15)*(1+$A387)^(10-1)*(1+'Table G'!$B$26)/(('Table G'!$B$18-'Table G'!$B$26)*(1+'Table G'!$B$18)^10),"")</f>
        <v>452231.15749098826</v>
      </c>
      <c r="F387" s="17">
        <f>IFERROR(('Table G'!$B$14+'Table G'!$B$15)/(1+'Table G'!$B$18)*IF(ABS(((1+$A387)/(1+'Table G'!$B$18))-1)&lt;0.000000001,5,(1-((1+$A387)/(1+'Table G'!$B$18))^5)/(1-((1+$A387)/(1+'Table G'!$B$18))))+('Table G'!$B$14+'Table G'!$B$15)*(1+$A387)^(5-1)*(1+'Table G'!$B$27)/(('Table G'!$B$18-'Table G'!$B$27)*(1+'Table G'!$B$18)^5),"")</f>
        <v>191170.81004357696</v>
      </c>
      <c r="G387" s="17">
        <f>IFERROR(('Table G'!$B$14+'Table G'!$B$15)/(1+'Table G'!$B$18)*IF(ABS(((1+$A387)/(1+'Table G'!$B$18))-1)&lt;0.000000001,10,(1-((1+$A387)/(1+'Table G'!$B$18))^10)/(1-((1+$A387)/(1+'Table G'!$B$18))))+('Table G'!$B$14+'Table G'!$B$15)*(1+$A387)^(10-1)*(1+'Table G'!$B$27)/(('Table G'!$B$18-'Table G'!$B$27)*(1+'Table G'!$B$18)^10),"")</f>
        <v>483908.15697089583</v>
      </c>
    </row>
    <row r="388" spans="1:7" x14ac:dyDescent="0.2">
      <c r="A388" s="8">
        <f>-0.1+384*$B$2</f>
        <v>0.28400000000000003</v>
      </c>
      <c r="B388" s="17">
        <f>IFERROR(('Table G'!$B$14+'Table G'!$B$15)/(1+'Table G'!$B$18)*IF(ABS(((1+$A388)/(1+'Table G'!$B$18))-1)&lt;0.000000001,5,(1-((1+$A388)/(1+'Table G'!$B$18))^5)/(1-((1+$A388)/(1+'Table G'!$B$18))))+('Table G'!$B$14+'Table G'!$B$15)*(1+$A388)^(5-1)*(1+'Table G'!$B$25)/(('Table G'!$B$18-'Table G'!$B$25)*(1+'Table G'!$B$18)^5),"")</f>
        <v>166804.99260142641</v>
      </c>
      <c r="C388" s="17">
        <f>IFERROR(('Table G'!$B$14+'Table G'!$B$15)/(1+'Table G'!$B$18)*IF(ABS(((1+$A388)/(1+'Table G'!$B$18))-1)&lt;0.000000001,10,(1-((1+$A388)/(1+'Table G'!$B$18))^10)/(1-((1+$A388)/(1+'Table G'!$B$18))))+('Table G'!$B$14+'Table G'!$B$15)*(1+$A388)^(10-1)*(1+'Table G'!$B$25)/(('Table G'!$B$18-'Table G'!$B$25)*(1+'Table G'!$B$18)^10),"")</f>
        <v>427973.78672719054</v>
      </c>
      <c r="D388" s="17">
        <f>IFERROR(('Table G'!$B$14+'Table G'!$B$15)/(1+'Table G'!$B$18)*IF(ABS(((1+$A388)/(1+'Table G'!$B$18))-1)&lt;0.000000001,5,(1-((1+$A388)/(1+'Table G'!$B$18))^5)/(1-((1+$A388)/(1+'Table G'!$B$18))))+('Table G'!$B$14+'Table G'!$B$15)*(1+$A388)^(5-1)*(1+'Table G'!$B$26)/(('Table G'!$B$18-'Table G'!$B$26)*(1+'Table G'!$B$18)^5),"")</f>
        <v>178267.47017558591</v>
      </c>
      <c r="E388" s="17">
        <f>IFERROR(('Table G'!$B$14+'Table G'!$B$15)/(1+'Table G'!$B$18)*IF(ABS(((1+$A388)/(1+'Table G'!$B$18))-1)&lt;0.000000001,10,(1-((1+$A388)/(1+'Table G'!$B$18))^10)/(1-((1+$A388)/(1+'Table G'!$B$18))))+('Table G'!$B$14+'Table G'!$B$15)*(1+$A388)^(10-1)*(1+'Table G'!$B$26)/(('Table G'!$B$18-'Table G'!$B$26)*(1+'Table G'!$B$18)^10),"")</f>
        <v>455143.88904320571</v>
      </c>
      <c r="F388" s="17">
        <f>IFERROR(('Table G'!$B$14+'Table G'!$B$15)/(1+'Table G'!$B$18)*IF(ABS(((1+$A388)/(1+'Table G'!$B$18))-1)&lt;0.000000001,5,(1-((1+$A388)/(1+'Table G'!$B$18))^5)/(1-((1+$A388)/(1+'Table G'!$B$18))))+('Table G'!$B$14+'Table G'!$B$15)*(1+$A388)^(5-1)*(1+'Table G'!$B$27)/(('Table G'!$B$18-'Table G'!$B$27)*(1+'Table G'!$B$18)^5),"")</f>
        <v>191725.347613347</v>
      </c>
      <c r="G388" s="17">
        <f>IFERROR(('Table G'!$B$14+'Table G'!$B$15)/(1+'Table G'!$B$18)*IF(ABS(((1+$A388)/(1+'Table G'!$B$18))-1)&lt;0.000000001,10,(1-((1+$A388)/(1+'Table G'!$B$18))^10)/(1-((1+$A388)/(1+'Table G'!$B$18))))+('Table G'!$B$14+'Table G'!$B$15)*(1+$A388)^(10-1)*(1+'Table G'!$B$27)/(('Table G'!$B$18-'Table G'!$B$27)*(1+'Table G'!$B$18)^10),"")</f>
        <v>487043.79066348646</v>
      </c>
    </row>
    <row r="389" spans="1:7" x14ac:dyDescent="0.2">
      <c r="A389" s="8">
        <f>-0.1+385*$B$2</f>
        <v>0.28500000000000003</v>
      </c>
      <c r="B389" s="17">
        <f>IFERROR(('Table G'!$B$14+'Table G'!$B$15)/(1+'Table G'!$B$18)*IF(ABS(((1+$A389)/(1+'Table G'!$B$18))-1)&lt;0.000000001,5,(1-((1+$A389)/(1+'Table G'!$B$18))^5)/(1-((1+$A389)/(1+'Table G'!$B$18))))+('Table G'!$B$14+'Table G'!$B$15)*(1+$A389)^(5-1)*(1+'Table G'!$B$25)/(('Table G'!$B$18-'Table G'!$B$25)*(1+'Table G'!$B$18)^5),"")</f>
        <v>167283.06432131183</v>
      </c>
      <c r="C389" s="17">
        <f>IFERROR(('Table G'!$B$14+'Table G'!$B$15)/(1+'Table G'!$B$18)*IF(ABS(((1+$A389)/(1+'Table G'!$B$18))-1)&lt;0.000000001,10,(1-((1+$A389)/(1+'Table G'!$B$18))^10)/(1-((1+$A389)/(1+'Table G'!$B$18))))+('Table G'!$B$14+'Table G'!$B$15)*(1+$A389)^(10-1)*(1+'Table G'!$B$25)/(('Table G'!$B$18-'Table G'!$B$25)*(1+'Table G'!$B$18)^10),"")</f>
        <v>430712.93090571591</v>
      </c>
      <c r="D389" s="17">
        <f>IFERROR(('Table G'!$B$14+'Table G'!$B$15)/(1+'Table G'!$B$18)*IF(ABS(((1+$A389)/(1+'Table G'!$B$18))-1)&lt;0.000000001,5,(1-((1+$A389)/(1+'Table G'!$B$18))^5)/(1-((1+$A389)/(1+'Table G'!$B$18))))+('Table G'!$B$14+'Table G'!$B$15)*(1+$A389)^(5-1)*(1+'Table G'!$B$26)/(('Table G'!$B$18-'Table G'!$B$26)*(1+'Table G'!$B$18)^5),"")</f>
        <v>178781.29228572975</v>
      </c>
      <c r="E389" s="17">
        <f>IFERROR(('Table G'!$B$14+'Table G'!$B$15)/(1+'Table G'!$B$18)*IF(ABS(((1+$A389)/(1+'Table G'!$B$18))-1)&lt;0.000000001,10,(1-((1+$A389)/(1+'Table G'!$B$18))^10)/(1-((1+$A389)/(1+'Table G'!$B$18))))+('Table G'!$B$14+'Table G'!$B$15)*(1+$A389)^(10-1)*(1+'Table G'!$B$26)/(('Table G'!$B$18-'Table G'!$B$26)*(1+'Table G'!$B$18)^10),"")</f>
        <v>458074.07222902472</v>
      </c>
      <c r="F389" s="17">
        <f>IFERROR(('Table G'!$B$14+'Table G'!$B$15)/(1+'Table G'!$B$18)*IF(ABS(((1+$A389)/(1+'Table G'!$B$18))-1)&lt;0.000000001,5,(1-((1+$A389)/(1+'Table G'!$B$18))^5)/(1-((1+$A389)/(1+'Table G'!$B$18))))+('Table G'!$B$14+'Table G'!$B$15)*(1+$A389)^(5-1)*(1+'Table G'!$B$27)/(('Table G'!$B$18-'Table G'!$B$27)*(1+'Table G'!$B$18)^5),"")</f>
        <v>192281.14357838721</v>
      </c>
      <c r="G389" s="17">
        <f>IFERROR(('Table G'!$B$14+'Table G'!$B$15)/(1+'Table G'!$B$18)*IF(ABS(((1+$A389)/(1+'Table G'!$B$18))-1)&lt;0.000000001,10,(1-((1+$A389)/(1+'Table G'!$B$18))^10)/(1-((1+$A389)/(1+'Table G'!$B$18))))+('Table G'!$B$14+'Table G'!$B$15)*(1+$A389)^(10-1)*(1+'Table G'!$B$27)/(('Table G'!$B$18-'Table G'!$B$27)*(1+'Table G'!$B$18)^10),"")</f>
        <v>490198.26912311133</v>
      </c>
    </row>
    <row r="390" spans="1:7" x14ac:dyDescent="0.2">
      <c r="A390" s="8">
        <f>-0.1+386*$B$2</f>
        <v>0.28600000000000003</v>
      </c>
      <c r="B390" s="17">
        <f>IFERROR(('Table G'!$B$14+'Table G'!$B$15)/(1+'Table G'!$B$18)*IF(ABS(((1+$A390)/(1+'Table G'!$B$18))-1)&lt;0.000000001,5,(1-((1+$A390)/(1+'Table G'!$B$18))^5)/(1-((1+$A390)/(1+'Table G'!$B$18))))+('Table G'!$B$14+'Table G'!$B$15)*(1+$A390)^(5-1)*(1+'Table G'!$B$25)/(('Table G'!$B$18-'Table G'!$B$25)*(1+'Table G'!$B$18)^5),"")</f>
        <v>167762.2146947021</v>
      </c>
      <c r="C390" s="17">
        <f>IFERROR(('Table G'!$B$14+'Table G'!$B$15)/(1+'Table G'!$B$18)*IF(ABS(((1+$A390)/(1+'Table G'!$B$18))-1)&lt;0.000000001,10,(1-((1+$A390)/(1+'Table G'!$B$18))^10)/(1-((1+$A390)/(1+'Table G'!$B$18))))+('Table G'!$B$14+'Table G'!$B$15)*(1+$A390)^(10-1)*(1+'Table G'!$B$25)/(('Table G'!$B$18-'Table G'!$B$25)*(1+'Table G'!$B$18)^10),"")</f>
        <v>433468.42658713623</v>
      </c>
      <c r="D390" s="17">
        <f>IFERROR(('Table G'!$B$14+'Table G'!$B$15)/(1+'Table G'!$B$18)*IF(ABS(((1+$A390)/(1+'Table G'!$B$18))-1)&lt;0.000000001,5,(1-((1+$A390)/(1+'Table G'!$B$18))^5)/(1-((1+$A390)/(1+'Table G'!$B$18))))+('Table G'!$B$14+'Table G'!$B$15)*(1+$A390)^(5-1)*(1+'Table G'!$B$26)/(('Table G'!$B$18-'Table G'!$B$26)*(1+'Table G'!$B$18)^5),"")</f>
        <v>179296.27661082498</v>
      </c>
      <c r="E390" s="17">
        <f>IFERROR(('Table G'!$B$14+'Table G'!$B$15)/(1+'Table G'!$B$18)*IF(ABS(((1+$A390)/(1+'Table G'!$B$18))-1)&lt;0.000000001,10,(1-((1+$A390)/(1+'Table G'!$B$18))^10)/(1-((1+$A390)/(1+'Table G'!$B$18))))+('Table G'!$B$14+'Table G'!$B$15)*(1+$A390)^(10-1)*(1+'Table G'!$B$26)/(('Table G'!$B$18-'Table G'!$B$26)*(1+'Table G'!$B$18)^10),"")</f>
        <v>461021.79997522687</v>
      </c>
      <c r="F390" s="17">
        <f>IFERROR(('Table G'!$B$14+'Table G'!$B$15)/(1+'Table G'!$B$18)*IF(ABS(((1+$A390)/(1+'Table G'!$B$18))-1)&lt;0.000000001,5,(1-((1+$A390)/(1+'Table G'!$B$18))^5)/(1-((1+$A390)/(1+'Table G'!$B$18))))+('Table G'!$B$14+'Table G'!$B$15)*(1+$A390)^(5-1)*(1+'Table G'!$B$27)/(('Table G'!$B$18-'Table G'!$B$27)*(1+'Table G'!$B$18)^5),"")</f>
        <v>192838.19986628764</v>
      </c>
      <c r="G390" s="17">
        <f>IFERROR(('Table G'!$B$14+'Table G'!$B$15)/(1+'Table G'!$B$18)*IF(ABS(((1+$A390)/(1+'Table G'!$B$18))-1)&lt;0.000000001,10,(1-((1+$A390)/(1+'Table G'!$B$18))^10)/(1-((1+$A390)/(1+'Table G'!$B$18))))+('Table G'!$B$14+'Table G'!$B$15)*(1+$A390)^(10-1)*(1+'Table G'!$B$27)/(('Table G'!$B$18-'Table G'!$B$27)*(1+'Table G'!$B$18)^10),"")</f>
        <v>493371.69288927992</v>
      </c>
    </row>
    <row r="391" spans="1:7" x14ac:dyDescent="0.2">
      <c r="A391" s="8">
        <f>-0.1+387*$B$2</f>
        <v>0.28700000000000003</v>
      </c>
      <c r="B391" s="17">
        <f>IFERROR(('Table G'!$B$14+'Table G'!$B$15)/(1+'Table G'!$B$18)*IF(ABS(((1+$A391)/(1+'Table G'!$B$18))-1)&lt;0.000000001,5,(1-((1+$A391)/(1+'Table G'!$B$18))^5)/(1-((1+$A391)/(1+'Table G'!$B$18))))+('Table G'!$B$14+'Table G'!$B$15)*(1+$A391)^(5-1)*(1+'Table G'!$B$25)/(('Table G'!$B$18-'Table G'!$B$25)*(1+'Table G'!$B$18)^5),"")</f>
        <v>168242.44536780784</v>
      </c>
      <c r="C391" s="17">
        <f>IFERROR(('Table G'!$B$14+'Table G'!$B$15)/(1+'Table G'!$B$18)*IF(ABS(((1+$A391)/(1+'Table G'!$B$18))-1)&lt;0.000000001,10,(1-((1+$A391)/(1+'Table G'!$B$18))^10)/(1-((1+$A391)/(1+'Table G'!$B$18))))+('Table G'!$B$14+'Table G'!$B$15)*(1+$A391)^(10-1)*(1+'Table G'!$B$25)/(('Table G'!$B$18-'Table G'!$B$25)*(1+'Table G'!$B$18)^10),"")</f>
        <v>436240.36061115563</v>
      </c>
      <c r="D391" s="17">
        <f>IFERROR(('Table G'!$B$14+'Table G'!$B$15)/(1+'Table G'!$B$18)*IF(ABS(((1+$A391)/(1+'Table G'!$B$18))-1)&lt;0.000000001,5,(1-((1+$A391)/(1+'Table G'!$B$18))^5)/(1-((1+$A391)/(1+'Table G'!$B$18))))+('Table G'!$B$14+'Table G'!$B$15)*(1+$A391)^(5-1)*(1+'Table G'!$B$26)/(('Table G'!$B$18-'Table G'!$B$26)*(1+'Table G'!$B$18)^5),"")</f>
        <v>179812.42492718954</v>
      </c>
      <c r="E391" s="17">
        <f>IFERROR(('Table G'!$B$14+'Table G'!$B$15)/(1+'Table G'!$B$18)*IF(ABS(((1+$A391)/(1+'Table G'!$B$18))-1)&lt;0.000000001,10,(1-((1+$A391)/(1+'Table G'!$B$18))^10)/(1-((1+$A391)/(1+'Table G'!$B$18))))+('Table G'!$B$14+'Table G'!$B$15)*(1+$A391)^(10-1)*(1+'Table G'!$B$26)/(('Table G'!$B$18-'Table G'!$B$26)*(1+'Table G'!$B$18)^10),"")</f>
        <v>463987.1656358511</v>
      </c>
      <c r="F391" s="17">
        <f>IFERROR(('Table G'!$B$14+'Table G'!$B$15)/(1+'Table G'!$B$18)*IF(ABS(((1+$A391)/(1+'Table G'!$B$18))-1)&lt;0.000000001,5,(1-((1+$A391)/(1+'Table G'!$B$18))^5)/(1-((1+$A391)/(1+'Table G'!$B$18))))+('Table G'!$B$14+'Table G'!$B$15)*(1+$A391)^(5-1)*(1+'Table G'!$B$27)/(('Table G'!$B$18-'Table G'!$B$27)*(1+'Table G'!$B$18)^5),"")</f>
        <v>193396.51840612284</v>
      </c>
      <c r="G391" s="17">
        <f>IFERROR(('Table G'!$B$14+'Table G'!$B$15)/(1+'Table G'!$B$18)*IF(ABS(((1+$A391)/(1+'Table G'!$B$18))-1)&lt;0.000000001,10,(1-((1+$A391)/(1+'Table G'!$B$18))^10)/(1-((1+$A391)/(1+'Table G'!$B$18))))+('Table G'!$B$14+'Table G'!$B$15)*(1+$A391)^(10-1)*(1+'Table G'!$B$27)/(('Table G'!$B$18-'Table G'!$B$27)*(1+'Table G'!$B$18)^10),"")</f>
        <v>496564.1629643878</v>
      </c>
    </row>
    <row r="392" spans="1:7" x14ac:dyDescent="0.2">
      <c r="A392" s="8">
        <f>-0.1+388*$B$2</f>
        <v>0.28800000000000003</v>
      </c>
      <c r="B392" s="17">
        <f>IFERROR(('Table G'!$B$14+'Table G'!$B$15)/(1+'Table G'!$B$18)*IF(ABS(((1+$A392)/(1+'Table G'!$B$18))-1)&lt;0.000000001,5,(1-((1+$A392)/(1+'Table G'!$B$18))^5)/(1-((1+$A392)/(1+'Table G'!$B$18))))+('Table G'!$B$14+'Table G'!$B$15)*(1+$A392)^(5-1)*(1+'Table G'!$B$25)/(('Table G'!$B$18-'Table G'!$B$25)*(1+'Table G'!$B$18)^5),"")</f>
        <v>168723.75798810375</v>
      </c>
      <c r="C392" s="17">
        <f>IFERROR(('Table G'!$B$14+'Table G'!$B$15)/(1+'Table G'!$B$18)*IF(ABS(((1+$A392)/(1+'Table G'!$B$18))-1)&lt;0.000000001,10,(1-((1+$A392)/(1+'Table G'!$B$18))^10)/(1-((1+$A392)/(1+'Table G'!$B$18))))+('Table G'!$B$14+'Table G'!$B$15)*(1+$A392)^(10-1)*(1+'Table G'!$B$25)/(('Table G'!$B$18-'Table G'!$B$25)*(1+'Table G'!$B$18)^10),"")</f>
        <v>439028.82021591393</v>
      </c>
      <c r="D392" s="17">
        <f>IFERROR(('Table G'!$B$14+'Table G'!$B$15)/(1+'Table G'!$B$18)*IF(ABS(((1+$A392)/(1+'Table G'!$B$18))-1)&lt;0.000000001,5,(1-((1+$A392)/(1+'Table G'!$B$18))^5)/(1-((1+$A392)/(1+'Table G'!$B$18))))+('Table G'!$B$14+'Table G'!$B$15)*(1+$A392)^(5-1)*(1+'Table G'!$B$26)/(('Table G'!$B$18-'Table G'!$B$26)*(1+'Table G'!$B$18)^5),"")</f>
        <v>180329.73901250656</v>
      </c>
      <c r="E392" s="17">
        <f>IFERROR(('Table G'!$B$14+'Table G'!$B$15)/(1+'Table G'!$B$18)*IF(ABS(((1+$A392)/(1+'Table G'!$B$18))-1)&lt;0.000000001,10,(1-((1+$A392)/(1+'Table G'!$B$18))^10)/(1-((1+$A392)/(1+'Table G'!$B$18))))+('Table G'!$B$14+'Table G'!$B$15)*(1+$A392)^(10-1)*(1+'Table G'!$B$26)/(('Table G'!$B$18-'Table G'!$B$26)*(1+'Table G'!$B$18)^10),"")</f>
        <v>466970.26299383619</v>
      </c>
      <c r="F392" s="17">
        <f>IFERROR(('Table G'!$B$14+'Table G'!$B$15)/(1+'Table G'!$B$18)*IF(ABS(((1+$A392)/(1+'Table G'!$B$18))-1)&lt;0.000000001,5,(1-((1+$A392)/(1+'Table G'!$B$18))^5)/(1-((1+$A392)/(1+'Table G'!$B$18))))+('Table G'!$B$14+'Table G'!$B$15)*(1+$A392)^(5-1)*(1+'Table G'!$B$27)/(('Table G'!$B$18-'Table G'!$B$27)*(1+'Table G'!$B$18)^5),"")</f>
        <v>193956.10112845135</v>
      </c>
      <c r="G392" s="17">
        <f>IFERROR(('Table G'!$B$14+'Table G'!$B$15)/(1+'Table G'!$B$18)*IF(ABS(((1+$A392)/(1+'Table G'!$B$18))-1)&lt;0.000000001,10,(1-((1+$A392)/(1+'Table G'!$B$18))^10)/(1-((1+$A392)/(1+'Table G'!$B$18))))+('Table G'!$B$14+'Table G'!$B$15)*(1+$A392)^(10-1)*(1+'Table G'!$B$27)/(('Table G'!$B$18-'Table G'!$B$27)*(1+'Table G'!$B$18)^10),"")</f>
        <v>499775.7808154985</v>
      </c>
    </row>
    <row r="393" spans="1:7" x14ac:dyDescent="0.2">
      <c r="A393" s="8">
        <f>-0.1+389*$B$2</f>
        <v>0.28900000000000003</v>
      </c>
      <c r="B393" s="17">
        <f>IFERROR(('Table G'!$B$14+'Table G'!$B$15)/(1+'Table G'!$B$18)*IF(ABS(((1+$A393)/(1+'Table G'!$B$18))-1)&lt;0.000000001,5,(1-((1+$A393)/(1+'Table G'!$B$18))^5)/(1-((1+$A393)/(1+'Table G'!$B$18))))+('Table G'!$B$14+'Table G'!$B$15)*(1+$A393)^(5-1)*(1+'Table G'!$B$25)/(('Table G'!$B$18-'Table G'!$B$25)*(1+'Table G'!$B$18)^5),"")</f>
        <v>169206.15420432811</v>
      </c>
      <c r="C393" s="17">
        <f>IFERROR(('Table G'!$B$14+'Table G'!$B$15)/(1+'Table G'!$B$18)*IF(ABS(((1+$A393)/(1+'Table G'!$B$18))-1)&lt;0.000000001,10,(1-((1+$A393)/(1+'Table G'!$B$18))^10)/(1-((1+$A393)/(1+'Table G'!$B$18))))+('Table G'!$B$14+'Table G'!$B$15)*(1+$A393)^(10-1)*(1+'Table G'!$B$25)/(('Table G'!$B$18-'Table G'!$B$25)*(1+'Table G'!$B$18)^10),"")</f>
        <v>441833.89303951315</v>
      </c>
      <c r="D393" s="17">
        <f>IFERROR(('Table G'!$B$14+'Table G'!$B$15)/(1+'Table G'!$B$18)*IF(ABS(((1+$A393)/(1+'Table G'!$B$18))-1)&lt;0.000000001,5,(1-((1+$A393)/(1+'Table G'!$B$18))^5)/(1-((1+$A393)/(1+'Table G'!$B$18))))+('Table G'!$B$14+'Table G'!$B$15)*(1+$A393)^(5-1)*(1+'Table G'!$B$26)/(('Table G'!$B$18-'Table G'!$B$26)*(1+'Table G'!$B$18)^5),"")</f>
        <v>180848.2206458241</v>
      </c>
      <c r="E393" s="17">
        <f>IFERROR(('Table G'!$B$14+'Table G'!$B$15)/(1+'Table G'!$B$18)*IF(ABS(((1+$A393)/(1+'Table G'!$B$18))-1)&lt;0.000000001,10,(1-((1+$A393)/(1+'Table G'!$B$18))^10)/(1-((1+$A393)/(1+'Table G'!$B$18))))+('Table G'!$B$14+'Table G'!$B$15)*(1+$A393)^(10-1)*(1+'Table G'!$B$26)/(('Table G'!$B$18-'Table G'!$B$26)*(1+'Table G'!$B$18)^10),"")</f>
        <v>469971.18626266648</v>
      </c>
      <c r="F393" s="17">
        <f>IFERROR(('Table G'!$B$14+'Table G'!$B$15)/(1+'Table G'!$B$18)*IF(ABS(((1+$A393)/(1+'Table G'!$B$18))-1)&lt;0.000000001,5,(1-((1+$A393)/(1+'Table G'!$B$18))^5)/(1-((1+$A393)/(1+'Table G'!$B$18))))+('Table G'!$B$14+'Table G'!$B$15)*(1+$A393)^(5-1)*(1+'Table G'!$B$27)/(('Table G'!$B$18-'Table G'!$B$27)*(1+'Table G'!$B$18)^5),"")</f>
        <v>194516.94996531535</v>
      </c>
      <c r="G393" s="17">
        <f>IFERROR(('Table G'!$B$14+'Table G'!$B$15)/(1+'Table G'!$B$18)*IF(ABS(((1+$A393)/(1+'Table G'!$B$18))-1)&lt;0.000000001,10,(1-((1+$A393)/(1+'Table G'!$B$18))^10)/(1-((1+$A393)/(1+'Table G'!$B$18))))+('Table G'!$B$14+'Table G'!$B$15)*(1+$A393)^(10-1)*(1+'Table G'!$B$27)/(('Table G'!$B$18-'Table G'!$B$27)*(1+'Table G'!$B$18)^10),"")</f>
        <v>503006.64837612782</v>
      </c>
    </row>
    <row r="394" spans="1:7" x14ac:dyDescent="0.2">
      <c r="A394" s="8">
        <f>-0.1+390*$B$2</f>
        <v>0.29000000000000004</v>
      </c>
      <c r="B394" s="17">
        <f>IFERROR(('Table G'!$B$14+'Table G'!$B$15)/(1+'Table G'!$B$18)*IF(ABS(((1+$A394)/(1+'Table G'!$B$18))-1)&lt;0.000000001,5,(1-((1+$A394)/(1+'Table G'!$B$18))^5)/(1-((1+$A394)/(1+'Table G'!$B$18))))+('Table G'!$B$14+'Table G'!$B$15)*(1+$A394)^(5-1)*(1+'Table G'!$B$25)/(('Table G'!$B$18-'Table G'!$B$25)*(1+'Table G'!$B$18)^5),"")</f>
        <v>169689.63566648334</v>
      </c>
      <c r="C394" s="17">
        <f>IFERROR(('Table G'!$B$14+'Table G'!$B$15)/(1+'Table G'!$B$18)*IF(ABS(((1+$A394)/(1+'Table G'!$B$18))-1)&lt;0.000000001,10,(1-((1+$A394)/(1+'Table G'!$B$18))^10)/(1-((1+$A394)/(1+'Table G'!$B$18))))+('Table G'!$B$14+'Table G'!$B$15)*(1+$A394)^(10-1)*(1+'Table G'!$B$25)/(('Table G'!$B$18-'Table G'!$B$25)*(1+'Table G'!$B$18)^10),"")</f>
        <v>444655.66712155647</v>
      </c>
      <c r="D394" s="17">
        <f>IFERROR(('Table G'!$B$14+'Table G'!$B$15)/(1+'Table G'!$B$18)*IF(ABS(((1+$A394)/(1+'Table G'!$B$18))-1)&lt;0.000000001,5,(1-((1+$A394)/(1+'Table G'!$B$18))^5)/(1-((1+$A394)/(1+'Table G'!$B$18))))+('Table G'!$B$14+'Table G'!$B$15)*(1+$A394)^(5-1)*(1+'Table G'!$B$26)/(('Table G'!$B$18-'Table G'!$B$26)*(1+'Table G'!$B$18)^5),"")</f>
        <v>181367.8716075556</v>
      </c>
      <c r="E394" s="17">
        <f>IFERROR(('Table G'!$B$14+'Table G'!$B$15)/(1+'Table G'!$B$18)*IF(ABS(((1+$A394)/(1+'Table G'!$B$18))-1)&lt;0.000000001,10,(1-((1+$A394)/(1+'Table G'!$B$18))^10)/(1-((1+$A394)/(1+'Table G'!$B$18))))+('Table G'!$B$14+'Table G'!$B$15)*(1+$A394)^(10-1)*(1+'Table G'!$B$26)/(('Table G'!$B$18-'Table G'!$B$26)*(1+'Table G'!$B$18)^10),"")</f>
        <v>472990.03008802974</v>
      </c>
      <c r="F394" s="17">
        <f>IFERROR(('Table G'!$B$14+'Table G'!$B$15)/(1+'Table G'!$B$18)*IF(ABS(((1+$A394)/(1+'Table G'!$B$18))-1)&lt;0.000000001,5,(1-((1+$A394)/(1+'Table G'!$B$18))^5)/(1-((1+$A394)/(1+'Table G'!$B$18))))+('Table G'!$B$14+'Table G'!$B$15)*(1+$A394)^(5-1)*(1+'Table G'!$B$27)/(('Table G'!$B$18-'Table G'!$B$27)*(1+'Table G'!$B$18)^5),"")</f>
        <v>195079.0668502413</v>
      </c>
      <c r="G394" s="17">
        <f>IFERROR(('Table G'!$B$14+'Table G'!$B$15)/(1+'Table G'!$B$18)*IF(ABS(((1+$A394)/(1+'Table G'!$B$18))-1)&lt;0.000000001,10,(1-((1+$A394)/(1+'Table G'!$B$18))^10)/(1-((1+$A394)/(1+'Table G'!$B$18))))+('Table G'!$B$14+'Table G'!$B$15)*(1+$A394)^(10-1)*(1+'Table G'!$B$27)/(('Table G'!$B$18-'Table G'!$B$27)*(1+'Table G'!$B$18)^10),"")</f>
        <v>506256.86804804165</v>
      </c>
    </row>
    <row r="395" spans="1:7" x14ac:dyDescent="0.2">
      <c r="A395" s="8">
        <f>-0.1+391*$B$2</f>
        <v>0.29100000000000004</v>
      </c>
      <c r="B395" s="17">
        <f>IFERROR(('Table G'!$B$14+'Table G'!$B$15)/(1+'Table G'!$B$18)*IF(ABS(((1+$A395)/(1+'Table G'!$B$18))-1)&lt;0.000000001,5,(1-((1+$A395)/(1+'Table G'!$B$18))^5)/(1-((1+$A395)/(1+'Table G'!$B$18))))+('Table G'!$B$14+'Table G'!$B$15)*(1+$A395)^(5-1)*(1+'Table G'!$B$25)/(('Table G'!$B$18-'Table G'!$B$25)*(1+'Table G'!$B$18)^5),"")</f>
        <v>170174.20402583608</v>
      </c>
      <c r="C395" s="17">
        <f>IFERROR(('Table G'!$B$14+'Table G'!$B$15)/(1+'Table G'!$B$18)*IF(ABS(((1+$A395)/(1+'Table G'!$B$18))-1)&lt;0.000000001,10,(1-((1+$A395)/(1+'Table G'!$B$18))^10)/(1-((1+$A395)/(1+'Table G'!$B$18))))+('Table G'!$B$14+'Table G'!$B$15)*(1+$A395)^(10-1)*(1+'Table G'!$B$25)/(('Table G'!$B$18-'Table G'!$B$25)*(1+'Table G'!$B$18)^10),"")</f>
        <v>447494.23090468673</v>
      </c>
      <c r="D395" s="17">
        <f>IFERROR(('Table G'!$B$14+'Table G'!$B$15)/(1+'Table G'!$B$18)*IF(ABS(((1+$A395)/(1+'Table G'!$B$18))-1)&lt;0.000000001,5,(1-((1+$A395)/(1+'Table G'!$B$18))^5)/(1-((1+$A395)/(1+'Table G'!$B$18))))+('Table G'!$B$14+'Table G'!$B$15)*(1+$A395)^(5-1)*(1+'Table G'!$B$26)/(('Table G'!$B$18-'Table G'!$B$26)*(1+'Table G'!$B$18)^5),"")</f>
        <v>181888.69367947982</v>
      </c>
      <c r="E395" s="17">
        <f>IFERROR(('Table G'!$B$14+'Table G'!$B$15)/(1+'Table G'!$B$18)*IF(ABS(((1+$A395)/(1+'Table G'!$B$18))-1)&lt;0.000000001,10,(1-((1+$A395)/(1+'Table G'!$B$18))^10)/(1-((1+$A395)/(1+'Table G'!$B$18))))+('Table G'!$B$14+'Table G'!$B$15)*(1+$A395)^(10-1)*(1+'Table G'!$B$26)/(('Table G'!$B$18-'Table G'!$B$26)*(1+'Table G'!$B$18)^10),"")</f>
        <v>476026.88954947435</v>
      </c>
      <c r="F395" s="17">
        <f>IFERROR(('Table G'!$B$14+'Table G'!$B$15)/(1+'Table G'!$B$18)*IF(ABS(((1+$A395)/(1+'Table G'!$B$18))-1)&lt;0.000000001,5,(1-((1+$A395)/(1+'Table G'!$B$18))^5)/(1-((1+$A395)/(1+'Table G'!$B$18))))+('Table G'!$B$14+'Table G'!$B$15)*(1+$A395)^(5-1)*(1+'Table G'!$B$27)/(('Table G'!$B$18-'Table G'!$B$27)*(1+'Table G'!$B$18)^5),"")</f>
        <v>195642.45371823985</v>
      </c>
      <c r="G395" s="17">
        <f>IFERROR(('Table G'!$B$14+'Table G'!$B$15)/(1+'Table G'!$B$18)*IF(ABS(((1+$A395)/(1+'Table G'!$B$18))-1)&lt;0.000000001,10,(1-((1+$A395)/(1+'Table G'!$B$18))^10)/(1-((1+$A395)/(1+'Table G'!$B$18))))+('Table G'!$B$14+'Table G'!$B$15)*(1+$A395)^(10-1)*(1+'Table G'!$B$27)/(('Table G'!$B$18-'Table G'!$B$27)*(1+'Table G'!$B$18)^10),"")</f>
        <v>509526.5427030538</v>
      </c>
    </row>
    <row r="396" spans="1:7" x14ac:dyDescent="0.2">
      <c r="A396" s="8">
        <f>-0.1+392*$B$2</f>
        <v>0.29200000000000004</v>
      </c>
      <c r="B396" s="17">
        <f>IFERROR(('Table G'!$B$14+'Table G'!$B$15)/(1+'Table G'!$B$18)*IF(ABS(((1+$A396)/(1+'Table G'!$B$18))-1)&lt;0.000000001,5,(1-((1+$A396)/(1+'Table G'!$B$18))^5)/(1-((1+$A396)/(1+'Table G'!$B$18))))+('Table G'!$B$14+'Table G'!$B$15)*(1+$A396)^(5-1)*(1+'Table G'!$B$25)/(('Table G'!$B$18-'Table G'!$B$25)*(1+'Table G'!$B$18)^5),"")</f>
        <v>170659.86093491712</v>
      </c>
      <c r="C396" s="17">
        <f>IFERROR(('Table G'!$B$14+'Table G'!$B$15)/(1+'Table G'!$B$18)*IF(ABS(((1+$A396)/(1+'Table G'!$B$18))-1)&lt;0.000000001,10,(1-((1+$A396)/(1+'Table G'!$B$18))^10)/(1-((1+$A396)/(1+'Table G'!$B$18))))+('Table G'!$B$14+'Table G'!$B$15)*(1+$A396)^(10-1)*(1+'Table G'!$B$25)/(('Table G'!$B$18-'Table G'!$B$25)*(1+'Table G'!$B$18)^10),"")</f>
        <v>450349.67323613033</v>
      </c>
      <c r="D396" s="17">
        <f>IFERROR(('Table G'!$B$14+'Table G'!$B$15)/(1+'Table G'!$B$18)*IF(ABS(((1+$A396)/(1+'Table G'!$B$18))-1)&lt;0.000000001,5,(1-((1+$A396)/(1+'Table G'!$B$18))^5)/(1-((1+$A396)/(1+'Table G'!$B$18))))+('Table G'!$B$14+'Table G'!$B$15)*(1+$A396)^(5-1)*(1+'Table G'!$B$26)/(('Table G'!$B$18-'Table G'!$B$26)*(1+'Table G'!$B$18)^5),"")</f>
        <v>182410.68864474088</v>
      </c>
      <c r="E396" s="17">
        <f>IFERROR(('Table G'!$B$14+'Table G'!$B$15)/(1+'Table G'!$B$18)*IF(ABS(((1+$A396)/(1+'Table G'!$B$18))-1)&lt;0.000000001,10,(1-((1+$A396)/(1+'Table G'!$B$18))^10)/(1-((1+$A396)/(1+'Table G'!$B$18))))+('Table G'!$B$14+'Table G'!$B$15)*(1+$A396)^(10-1)*(1+'Table G'!$B$26)/(('Table G'!$B$18-'Table G'!$B$26)*(1+'Table G'!$B$18)^10),"")</f>
        <v>479081.8601620738</v>
      </c>
      <c r="F396" s="17">
        <f>IFERROR(('Table G'!$B$14+'Table G'!$B$15)/(1+'Table G'!$B$18)*IF(ABS(((1+$A396)/(1+'Table G'!$B$18))-1)&lt;0.000000001,5,(1-((1+$A396)/(1+'Table G'!$B$18))^5)/(1-((1+$A396)/(1+'Table G'!$B$18))))+('Table G'!$B$14+'Table G'!$B$15)*(1+$A396)^(5-1)*(1+'Table G'!$B$27)/(('Table G'!$B$18-'Table G'!$B$27)*(1+'Table G'!$B$18)^5),"")</f>
        <v>196207.1125058058</v>
      </c>
      <c r="G396" s="17">
        <f>IFERROR(('Table G'!$B$14+'Table G'!$B$15)/(1+'Table G'!$B$18)*IF(ABS(((1+$A396)/(1+'Table G'!$B$18))-1)&lt;0.000000001,10,(1-((1+$A396)/(1+'Table G'!$B$18))^10)/(1-((1+$A396)/(1+'Table G'!$B$18))))+('Table G'!$B$14+'Table G'!$B$15)*(1+$A396)^(10-1)*(1+'Table G'!$B$27)/(('Table G'!$B$18-'Table G'!$B$27)*(1+'Table G'!$B$18)^10),"")</f>
        <v>512815.77568483044</v>
      </c>
    </row>
    <row r="397" spans="1:7" x14ac:dyDescent="0.2">
      <c r="A397" s="8">
        <f>-0.1+393*$B$2</f>
        <v>0.29300000000000004</v>
      </c>
      <c r="B397" s="17">
        <f>IFERROR(('Table G'!$B$14+'Table G'!$B$15)/(1+'Table G'!$B$18)*IF(ABS(((1+$A397)/(1+'Table G'!$B$18))-1)&lt;0.000000001,5,(1-((1+$A397)/(1+'Table G'!$B$18))^5)/(1-((1+$A397)/(1+'Table G'!$B$18))))+('Table G'!$B$14+'Table G'!$B$15)*(1+$A397)^(5-1)*(1+'Table G'!$B$25)/(('Table G'!$B$18-'Table G'!$B$25)*(1+'Table G'!$B$18)^5),"")</f>
        <v>171146.60804752074</v>
      </c>
      <c r="C397" s="17">
        <f>IFERROR(('Table G'!$B$14+'Table G'!$B$15)/(1+'Table G'!$B$18)*IF(ABS(((1+$A397)/(1+'Table G'!$B$18))-1)&lt;0.000000001,10,(1-((1+$A397)/(1+'Table G'!$B$18))^10)/(1-((1+$A397)/(1+'Table G'!$B$18))))+('Table G'!$B$14+'Table G'!$B$15)*(1+$A397)^(10-1)*(1+'Table G'!$B$25)/(('Table G'!$B$18-'Table G'!$B$25)*(1+'Table G'!$B$18)^10),"")</f>
        <v>453222.08336924377</v>
      </c>
      <c r="D397" s="17">
        <f>IFERROR(('Table G'!$B$14+'Table G'!$B$15)/(1+'Table G'!$B$18)*IF(ABS(((1+$A397)/(1+'Table G'!$B$18))-1)&lt;0.000000001,5,(1-((1+$A397)/(1+'Table G'!$B$18))^5)/(1-((1+$A397)/(1+'Table G'!$B$18))))+('Table G'!$B$14+'Table G'!$B$15)*(1+$A397)^(5-1)*(1+'Table G'!$B$26)/(('Table G'!$B$18-'Table G'!$B$26)*(1+'Table G'!$B$18)^5),"")</f>
        <v>182933.85828784778</v>
      </c>
      <c r="E397" s="17">
        <f>IFERROR(('Table G'!$B$14+'Table G'!$B$15)/(1+'Table G'!$B$18)*IF(ABS(((1+$A397)/(1+'Table G'!$B$18))-1)&lt;0.000000001,10,(1-((1+$A397)/(1+'Table G'!$B$18))^10)/(1-((1+$A397)/(1+'Table G'!$B$18))))+('Table G'!$B$14+'Table G'!$B$15)*(1+$A397)^(10-1)*(1+'Table G'!$B$26)/(('Table G'!$B$18-'Table G'!$B$26)*(1+'Table G'!$B$18)^10),"")</f>
        <v>482155.03787809296</v>
      </c>
      <c r="F397" s="17">
        <f>IFERROR(('Table G'!$B$14+'Table G'!$B$15)/(1+'Table G'!$B$18)*IF(ABS(((1+$A397)/(1+'Table G'!$B$18))-1)&lt;0.000000001,5,(1-((1+$A397)/(1+'Table G'!$B$18))^5)/(1-((1+$A397)/(1+'Table G'!$B$18))))+('Table G'!$B$14+'Table G'!$B$15)*(1+$A397)^(5-1)*(1+'Table G'!$B$27)/(('Table G'!$B$18-'Table G'!$B$27)*(1+'Table G'!$B$18)^5),"")</f>
        <v>196773.04515091763</v>
      </c>
      <c r="G397" s="17">
        <f>IFERROR(('Table G'!$B$14+'Table G'!$B$15)/(1+'Table G'!$B$18)*IF(ABS(((1+$A397)/(1+'Table G'!$B$18))-1)&lt;0.000000001,10,(1-((1+$A397)/(1+'Table G'!$B$18))^10)/(1-((1+$A397)/(1+'Table G'!$B$18))))+('Table G'!$B$14+'Table G'!$B$15)*(1+$A397)^(10-1)*(1+'Table G'!$B$27)/(('Table G'!$B$18-'Table G'!$B$27)*(1+'Table G'!$B$18)^10),"")</f>
        <v>516124.6708106976</v>
      </c>
    </row>
    <row r="398" spans="1:7" x14ac:dyDescent="0.2">
      <c r="A398" s="8">
        <f>-0.1+394*$B$2</f>
        <v>0.29400000000000004</v>
      </c>
      <c r="B398" s="17">
        <f>IFERROR(('Table G'!$B$14+'Table G'!$B$15)/(1+'Table G'!$B$18)*IF(ABS(((1+$A398)/(1+'Table G'!$B$18))-1)&lt;0.000000001,5,(1-((1+$A398)/(1+'Table G'!$B$18))^5)/(1-((1+$A398)/(1+'Table G'!$B$18))))+('Table G'!$B$14+'Table G'!$B$15)*(1+$A398)^(5-1)*(1+'Table G'!$B$25)/(('Table G'!$B$18-'Table G'!$B$25)*(1+'Table G'!$B$18)^5),"")</f>
        <v>171634.4470187056</v>
      </c>
      <c r="C398" s="17">
        <f>IFERROR(('Table G'!$B$14+'Table G'!$B$15)/(1+'Table G'!$B$18)*IF(ABS(((1+$A398)/(1+'Table G'!$B$18))-1)&lt;0.000000001,10,(1-((1+$A398)/(1+'Table G'!$B$18))^10)/(1-((1+$A398)/(1+'Table G'!$B$18))))+('Table G'!$B$14+'Table G'!$B$15)*(1+$A398)^(10-1)*(1+'Table G'!$B$25)/(('Table G'!$B$18-'Table G'!$B$25)*(1+'Table G'!$B$18)^10),"")</f>
        <v>456111.55096506968</v>
      </c>
      <c r="D398" s="17">
        <f>IFERROR(('Table G'!$B$14+'Table G'!$B$15)/(1+'Table G'!$B$18)*IF(ABS(((1+$A398)/(1+'Table G'!$B$18))-1)&lt;0.000000001,5,(1-((1+$A398)/(1+'Table G'!$B$18))^5)/(1-((1+$A398)/(1+'Table G'!$B$18))))+('Table G'!$B$14+'Table G'!$B$15)*(1+$A398)^(5-1)*(1+'Table G'!$B$26)/(('Table G'!$B$18-'Table G'!$B$26)*(1+'Table G'!$B$18)^5),"")</f>
        <v>183458.20439467483</v>
      </c>
      <c r="E398" s="17">
        <f>IFERROR(('Table G'!$B$14+'Table G'!$B$15)/(1+'Table G'!$B$18)*IF(ABS(((1+$A398)/(1+'Table G'!$B$18))-1)&lt;0.000000001,10,(1-((1+$A398)/(1+'Table G'!$B$18))^10)/(1-((1+$A398)/(1+'Table G'!$B$18))))+('Table G'!$B$14+'Table G'!$B$15)*(1+$A398)^(10-1)*(1+'Table G'!$B$26)/(('Table G'!$B$18-'Table G'!$B$26)*(1+'Table G'!$B$18)^10),"")</f>
        <v>485246.51908866462</v>
      </c>
      <c r="F398" s="17">
        <f>IFERROR(('Table G'!$B$14+'Table G'!$B$15)/(1+'Table G'!$B$18)*IF(ABS(((1+$A398)/(1+'Table G'!$B$18))-1)&lt;0.000000001,5,(1-((1+$A398)/(1+'Table G'!$B$18))^5)/(1-((1+$A398)/(1+'Table G'!$B$18))))+('Table G'!$B$14+'Table G'!$B$15)*(1+$A398)^(5-1)*(1+'Table G'!$B$27)/(('Table G'!$B$18-'Table G'!$B$27)*(1+'Table G'!$B$18)^5),"")</f>
        <v>197340.25359303804</v>
      </c>
      <c r="G398" s="17">
        <f>IFERROR(('Table G'!$B$14+'Table G'!$B$15)/(1+'Table G'!$B$18)*IF(ABS(((1+$A398)/(1+'Table G'!$B$18))-1)&lt;0.000000001,10,(1-((1+$A398)/(1+'Table G'!$B$18))^10)/(1-((1+$A398)/(1+'Table G'!$B$18))))+('Table G'!$B$14+'Table G'!$B$15)*(1+$A398)^(10-1)*(1+'Table G'!$B$27)/(('Table G'!$B$18-'Table G'!$B$27)*(1+'Table G'!$B$18)^10),"")</f>
        <v>519453.33237345912</v>
      </c>
    </row>
    <row r="399" spans="1:7" x14ac:dyDescent="0.2">
      <c r="A399" s="8">
        <f>-0.1+395*$B$2</f>
        <v>0.29500000000000004</v>
      </c>
      <c r="B399" s="17">
        <f>IFERROR(('Table G'!$B$14+'Table G'!$B$15)/(1+'Table G'!$B$18)*IF(ABS(((1+$A399)/(1+'Table G'!$B$18))-1)&lt;0.000000001,5,(1-((1+$A399)/(1+'Table G'!$B$18))^5)/(1-((1+$A399)/(1+'Table G'!$B$18))))+('Table G'!$B$14+'Table G'!$B$15)*(1+$A399)^(5-1)*(1+'Table G'!$B$25)/(('Table G'!$B$18-'Table G'!$B$25)*(1+'Table G'!$B$18)^5),"")</f>
        <v>172123.3795047944</v>
      </c>
      <c r="C399" s="17">
        <f>IFERROR(('Table G'!$B$14+'Table G'!$B$15)/(1+'Table G'!$B$18)*IF(ABS(((1+$A399)/(1+'Table G'!$B$18))-1)&lt;0.000000001,10,(1-((1+$A399)/(1+'Table G'!$B$18))^10)/(1-((1+$A399)/(1+'Table G'!$B$18))))+('Table G'!$B$14+'Table G'!$B$15)*(1+$A399)^(10-1)*(1+'Table G'!$B$25)/(('Table G'!$B$18-'Table G'!$B$25)*(1+'Table G'!$B$18)^10),"")</f>
        <v>459018.16609389574</v>
      </c>
      <c r="D399" s="17">
        <f>IFERROR(('Table G'!$B$14+'Table G'!$B$15)/(1+'Table G'!$B$18)*IF(ABS(((1+$A399)/(1+'Table G'!$B$18))-1)&lt;0.000000001,5,(1-((1+$A399)/(1+'Table G'!$B$18))^5)/(1-((1+$A399)/(1+'Table G'!$B$18))))+('Table G'!$B$14+'Table G'!$B$15)*(1+$A399)^(5-1)*(1+'Table G'!$B$26)/(('Table G'!$B$18-'Table G'!$B$26)*(1+'Table G'!$B$18)^5),"")</f>
        <v>183983.72875246179</v>
      </c>
      <c r="E399" s="17">
        <f>IFERROR(('Table G'!$B$14+'Table G'!$B$15)/(1+'Table G'!$B$18)*IF(ABS(((1+$A399)/(1+'Table G'!$B$18))-1)&lt;0.000000001,10,(1-((1+$A399)/(1+'Table G'!$B$18))^10)/(1-((1+$A399)/(1+'Table G'!$B$18))))+('Table G'!$B$14+'Table G'!$B$15)*(1+$A399)^(10-1)*(1+'Table G'!$B$26)/(('Table G'!$B$18-'Table G'!$B$26)*(1+'Table G'!$B$18)^10),"")</f>
        <v>488356.40062546934</v>
      </c>
      <c r="F399" s="17">
        <f>IFERROR(('Table G'!$B$14+'Table G'!$B$15)/(1+'Table G'!$B$18)*IF(ABS(((1+$A399)/(1+'Table G'!$B$18))-1)&lt;0.000000001,5,(1-((1+$A399)/(1+'Table G'!$B$18))^5)/(1-((1+$A399)/(1+'Table G'!$B$18))))+('Table G'!$B$14+'Table G'!$B$15)*(1+$A399)^(5-1)*(1+'Table G'!$B$27)/(('Table G'!$B$18-'Table G'!$B$27)*(1+'Table G'!$B$18)^5),"")</f>
        <v>197908.73977311398</v>
      </c>
      <c r="G399" s="17">
        <f>IFERROR(('Table G'!$B$14+'Table G'!$B$15)/(1+'Table G'!$B$18)*IF(ABS(((1+$A399)/(1+'Table G'!$B$18))-1)&lt;0.000000001,10,(1-((1+$A399)/(1+'Table G'!$B$18))^10)/(1-((1+$A399)/(1+'Table G'!$B$18))))+('Table G'!$B$14+'Table G'!$B$15)*(1+$A399)^(10-1)*(1+'Table G'!$B$27)/(('Table G'!$B$18-'Table G'!$B$27)*(1+'Table G'!$B$18)^10),"")</f>
        <v>522801.86514321866</v>
      </c>
    </row>
    <row r="400" spans="1:7" x14ac:dyDescent="0.2">
      <c r="A400" s="8">
        <f>-0.1+396*$B$2</f>
        <v>0.29600000000000004</v>
      </c>
      <c r="B400" s="17">
        <f>IFERROR(('Table G'!$B$14+'Table G'!$B$15)/(1+'Table G'!$B$18)*IF(ABS(((1+$A400)/(1+'Table G'!$B$18))-1)&lt;0.000000001,5,(1-((1+$A400)/(1+'Table G'!$B$18))^5)/(1-((1+$A400)/(1+'Table G'!$B$18))))+('Table G'!$B$14+'Table G'!$B$15)*(1+$A400)^(5-1)*(1+'Table G'!$B$25)/(('Table G'!$B$18-'Table G'!$B$25)*(1+'Table G'!$B$18)^5),"")</f>
        <v>172613.40716337386</v>
      </c>
      <c r="C400" s="17">
        <f>IFERROR(('Table G'!$B$14+'Table G'!$B$15)/(1+'Table G'!$B$18)*IF(ABS(((1+$A400)/(1+'Table G'!$B$18))-1)&lt;0.000000001,10,(1-((1+$A400)/(1+'Table G'!$B$18))^10)/(1-((1+$A400)/(1+'Table G'!$B$18))))+('Table G'!$B$14+'Table G'!$B$15)*(1+$A400)^(10-1)*(1+'Table G'!$B$25)/(('Table G'!$B$18-'Table G'!$B$25)*(1+'Table G'!$B$18)^10),"")</f>
        <v>461942.01923681668</v>
      </c>
      <c r="D400" s="17">
        <f>IFERROR(('Table G'!$B$14+'Table G'!$B$15)/(1+'Table G'!$B$18)*IF(ABS(((1+$A400)/(1+'Table G'!$B$18))-1)&lt;0.000000001,5,(1-((1+$A400)/(1+'Table G'!$B$18))^5)/(1-((1+$A400)/(1+'Table G'!$B$18))))+('Table G'!$B$14+'Table G'!$B$15)*(1+$A400)^(5-1)*(1+'Table G'!$B$26)/(('Table G'!$B$18-'Table G'!$B$26)*(1+'Table G'!$B$18)^5),"")</f>
        <v>184510.43314981365</v>
      </c>
      <c r="E400" s="17">
        <f>IFERROR(('Table G'!$B$14+'Table G'!$B$15)/(1+'Table G'!$B$18)*IF(ABS(((1+$A400)/(1+'Table G'!$B$18))-1)&lt;0.000000001,10,(1-((1+$A400)/(1+'Table G'!$B$18))^10)/(1-((1+$A400)/(1+'Table G'!$B$18))))+('Table G'!$B$14+'Table G'!$B$15)*(1+$A400)^(10-1)*(1+'Table G'!$B$26)/(('Table G'!$B$18-'Table G'!$B$26)*(1+'Table G'!$B$18)^10),"")</f>
        <v>491484.77976241859</v>
      </c>
      <c r="F400" s="17">
        <f>IFERROR(('Table G'!$B$14+'Table G'!$B$15)/(1+'Table G'!$B$18)*IF(ABS(((1+$A400)/(1+'Table G'!$B$18))-1)&lt;0.000000001,5,(1-((1+$A400)/(1+'Table G'!$B$18))^5)/(1-((1+$A400)/(1+'Table G'!$B$18))))+('Table G'!$B$14+'Table G'!$B$15)*(1+$A400)^(5-1)*(1+'Table G'!$B$27)/(('Table G'!$B$18-'Table G'!$B$27)*(1+'Table G'!$B$18)^5),"")</f>
        <v>198478.50563357642</v>
      </c>
      <c r="G400" s="17">
        <f>IFERROR(('Table G'!$B$14+'Table G'!$B$15)/(1+'Table G'!$B$18)*IF(ABS(((1+$A400)/(1+'Table G'!$B$18))-1)&lt;0.000000001,10,(1-((1+$A400)/(1+'Table G'!$B$18))^10)/(1-((1+$A400)/(1+'Table G'!$B$18))))+('Table G'!$B$14+'Table G'!$B$15)*(1+$A400)^(10-1)*(1+'Table G'!$B$27)/(('Table G'!$B$18-'Table G'!$B$27)*(1+'Table G'!$B$18)^10),"")</f>
        <v>526170.37436920498</v>
      </c>
    </row>
    <row r="401" spans="1:7" x14ac:dyDescent="0.2">
      <c r="A401" s="8">
        <f>-0.1+397*$B$2</f>
        <v>0.29700000000000004</v>
      </c>
      <c r="B401" s="17">
        <f>IFERROR(('Table G'!$B$14+'Table G'!$B$15)/(1+'Table G'!$B$18)*IF(ABS(((1+$A401)/(1+'Table G'!$B$18))-1)&lt;0.000000001,5,(1-((1+$A401)/(1+'Table G'!$B$18))^5)/(1-((1+$A401)/(1+'Table G'!$B$18))))+('Table G'!$B$14+'Table G'!$B$15)*(1+$A401)^(5-1)*(1+'Table G'!$B$25)/(('Table G'!$B$18-'Table G'!$B$25)*(1+'Table G'!$B$18)^5),"")</f>
        <v>173104.53165329451</v>
      </c>
      <c r="C401" s="17">
        <f>IFERROR(('Table G'!$B$14+'Table G'!$B$15)/(1+'Table G'!$B$18)*IF(ABS(((1+$A401)/(1+'Table G'!$B$18))-1)&lt;0.000000001,10,(1-((1+$A401)/(1+'Table G'!$B$18))^10)/(1-((1+$A401)/(1+'Table G'!$B$18))))+('Table G'!$B$14+'Table G'!$B$15)*(1+$A401)^(10-1)*(1+'Table G'!$B$25)/(('Table G'!$B$18-'Table G'!$B$25)*(1+'Table G'!$B$18)^10),"")</f>
        <v>464883.20128730126</v>
      </c>
      <c r="D401" s="17">
        <f>IFERROR(('Table G'!$B$14+'Table G'!$B$15)/(1+'Table G'!$B$18)*IF(ABS(((1+$A401)/(1+'Table G'!$B$18))-1)&lt;0.000000001,5,(1-((1+$A401)/(1+'Table G'!$B$18))^5)/(1-((1+$A401)/(1+'Table G'!$B$18))))+('Table G'!$B$14+'Table G'!$B$15)*(1+$A401)^(5-1)*(1+'Table G'!$B$26)/(('Table G'!$B$18-'Table G'!$B$26)*(1+'Table G'!$B$18)^5),"")</f>
        <v>185038.31937670032</v>
      </c>
      <c r="E401" s="17">
        <f>IFERROR(('Table G'!$B$14+'Table G'!$B$15)/(1+'Table G'!$B$18)*IF(ABS(((1+$A401)/(1+'Table G'!$B$18))-1)&lt;0.000000001,10,(1-((1+$A401)/(1+'Table G'!$B$18))^10)/(1-((1+$A401)/(1+'Table G'!$B$18))))+('Table G'!$B$14+'Table G'!$B$15)*(1+$A401)^(10-1)*(1+'Table G'!$B$26)/(('Table G'!$B$18-'Table G'!$B$26)*(1+'Table G'!$B$18)^10),"")</f>
        <v>494631.75421734317</v>
      </c>
      <c r="F401" s="17">
        <f>IFERROR(('Table G'!$B$14+'Table G'!$B$15)/(1+'Table G'!$B$18)*IF(ABS(((1+$A401)/(1+'Table G'!$B$18))-1)&lt;0.000000001,5,(1-((1+$A401)/(1+'Table G'!$B$18))^5)/(1-((1+$A401)/(1+'Table G'!$B$18))))+('Table G'!$B$14+'Table G'!$B$15)*(1+$A401)^(5-1)*(1+'Table G'!$B$27)/(('Table G'!$B$18-'Table G'!$B$27)*(1+'Table G'!$B$18)^5),"")</f>
        <v>199049.55311834015</v>
      </c>
      <c r="G401" s="17">
        <f>IFERROR(('Table G'!$B$14+'Table G'!$B$15)/(1+'Table G'!$B$18)*IF(ABS(((1+$A401)/(1+'Table G'!$B$18))-1)&lt;0.000000001,10,(1-((1+$A401)/(1+'Table G'!$B$18))^10)/(1-((1+$A401)/(1+'Table G'!$B$18))))+('Table G'!$B$14+'Table G'!$B$15)*(1+$A401)^(10-1)*(1+'Table G'!$B$27)/(('Table G'!$B$18-'Table G'!$B$27)*(1+'Table G'!$B$18)^10),"")</f>
        <v>529558.96578160324</v>
      </c>
    </row>
    <row r="402" spans="1:7" x14ac:dyDescent="0.2">
      <c r="A402" s="8">
        <f>-0.1+398*$B$2</f>
        <v>0.29800000000000004</v>
      </c>
      <c r="B402" s="17">
        <f>IFERROR(('Table G'!$B$14+'Table G'!$B$15)/(1+'Table G'!$B$18)*IF(ABS(((1+$A402)/(1+'Table G'!$B$18))-1)&lt;0.000000001,5,(1-((1+$A402)/(1+'Table G'!$B$18))^5)/(1-((1+$A402)/(1+'Table G'!$B$18))))+('Table G'!$B$14+'Table G'!$B$15)*(1+$A402)^(5-1)*(1+'Table G'!$B$25)/(('Table G'!$B$18-'Table G'!$B$25)*(1+'Table G'!$B$18)^5),"")</f>
        <v>173596.75463467103</v>
      </c>
      <c r="C402" s="17">
        <f>IFERROR(('Table G'!$B$14+'Table G'!$B$15)/(1+'Table G'!$B$18)*IF(ABS(((1+$A402)/(1+'Table G'!$B$18))-1)&lt;0.000000001,10,(1-((1+$A402)/(1+'Table G'!$B$18))^10)/(1-((1+$A402)/(1+'Table G'!$B$18))))+('Table G'!$B$14+'Table G'!$B$15)*(1+$A402)^(10-1)*(1+'Table G'!$B$25)/(('Table G'!$B$18-'Table G'!$B$25)*(1+'Table G'!$B$18)^10),"")</f>
        <v>467841.80355276586</v>
      </c>
      <c r="D402" s="17">
        <f>IFERROR(('Table G'!$B$14+'Table G'!$B$15)/(1+'Table G'!$B$18)*IF(ABS(((1+$A402)/(1+'Table G'!$B$18))-1)&lt;0.000000001,5,(1-((1+$A402)/(1+'Table G'!$B$18))^5)/(1-((1+$A402)/(1+'Table G'!$B$18))))+('Table G'!$B$14+'Table G'!$B$15)*(1+$A402)^(5-1)*(1+'Table G'!$B$26)/(('Table G'!$B$18-'Table G'!$B$26)*(1+'Table G'!$B$18)^5),"")</f>
        <v>185567.38922445715</v>
      </c>
      <c r="E402" s="17">
        <f>IFERROR(('Table G'!$B$14+'Table G'!$B$15)/(1+'Table G'!$B$18)*IF(ABS(((1+$A402)/(1+'Table G'!$B$18))-1)&lt;0.000000001,10,(1-((1+$A402)/(1+'Table G'!$B$18))^10)/(1-((1+$A402)/(1+'Table G'!$B$18))))+('Table G'!$B$14+'Table G'!$B$15)*(1+$A402)^(10-1)*(1+'Table G'!$B$26)/(('Table G'!$B$18-'Table G'!$B$26)*(1+'Table G'!$B$18)^10),"")</f>
        <v>497797.42215368943</v>
      </c>
      <c r="F402" s="17">
        <f>IFERROR(('Table G'!$B$14+'Table G'!$B$15)/(1+'Table G'!$B$18)*IF(ABS(((1+$A402)/(1+'Table G'!$B$18))-1)&lt;0.000000001,5,(1-((1+$A402)/(1+'Table G'!$B$18))^5)/(1-((1+$A402)/(1+'Table G'!$B$18))))+('Table G'!$B$14+'Table G'!$B$15)*(1+$A402)^(5-1)*(1+'Table G'!$B$27)/(('Table G'!$B$18-'Table G'!$B$27)*(1+'Table G'!$B$18)^5),"")</f>
        <v>199621.8841728041</v>
      </c>
      <c r="G402" s="17">
        <f>IFERROR(('Table G'!$B$14+'Table G'!$B$15)/(1+'Table G'!$B$18)*IF(ABS(((1+$A402)/(1+'Table G'!$B$18))-1)&lt;0.000000001,10,(1-((1+$A402)/(1+'Table G'!$B$18))^10)/(1-((1+$A402)/(1+'Table G'!$B$18))))+('Table G'!$B$14+'Table G'!$B$15)*(1+$A402)^(10-1)*(1+'Table G'!$B$27)/(('Table G'!$B$18-'Table G'!$B$27)*(1+'Table G'!$B$18)^10),"")</f>
        <v>532967.74559339369</v>
      </c>
    </row>
    <row r="403" spans="1:7" x14ac:dyDescent="0.2">
      <c r="A403" s="8">
        <f>-0.1+399*$B$2</f>
        <v>0.29900000000000004</v>
      </c>
      <c r="B403" s="17">
        <f>IFERROR(('Table G'!$B$14+'Table G'!$B$15)/(1+'Table G'!$B$18)*IF(ABS(((1+$A403)/(1+'Table G'!$B$18))-1)&lt;0.000000001,5,(1-((1+$A403)/(1+'Table G'!$B$18))^5)/(1-((1+$A403)/(1+'Table G'!$B$18))))+('Table G'!$B$14+'Table G'!$B$15)*(1+$A403)^(5-1)*(1+'Table G'!$B$25)/(('Table G'!$B$18-'Table G'!$B$25)*(1+'Table G'!$B$18)^5),"")</f>
        <v>174090.07776888213</v>
      </c>
      <c r="C403" s="17">
        <f>IFERROR(('Table G'!$B$14+'Table G'!$B$15)/(1+'Table G'!$B$18)*IF(ABS(((1+$A403)/(1+'Table G'!$B$18))-1)&lt;0.000000001,10,(1-((1+$A403)/(1+'Table G'!$B$18))^10)/(1-((1+$A403)/(1+'Table G'!$B$18))))+('Table G'!$B$14+'Table G'!$B$15)*(1+$A403)^(10-1)*(1+'Table G'!$B$25)/(('Table G'!$B$18-'Table G'!$B$25)*(1+'Table G'!$B$18)^10),"")</f>
        <v>470817.91775615286</v>
      </c>
      <c r="D403" s="17">
        <f>IFERROR(('Table G'!$B$14+'Table G'!$B$15)/(1+'Table G'!$B$18)*IF(ABS(((1+$A403)/(1+'Table G'!$B$18))-1)&lt;0.000000001,5,(1-((1+$A403)/(1+'Table G'!$B$18))^5)/(1-((1+$A403)/(1+'Table G'!$B$18))))+('Table G'!$B$14+'Table G'!$B$15)*(1+$A403)^(5-1)*(1+'Table G'!$B$26)/(('Table G'!$B$18-'Table G'!$B$26)*(1+'Table G'!$B$18)^5),"")</f>
        <v>186097.64448578467</v>
      </c>
      <c r="E403" s="17">
        <f>IFERROR(('Table G'!$B$14+'Table G'!$B$15)/(1+'Table G'!$B$18)*IF(ABS(((1+$A403)/(1+'Table G'!$B$18))-1)&lt;0.000000001,10,(1-((1+$A403)/(1+'Table G'!$B$18))^10)/(1-((1+$A403)/(1+'Table G'!$B$18))))+('Table G'!$B$14+'Table G'!$B$15)*(1+$A403)^(10-1)*(1+'Table G'!$B$26)/(('Table G'!$B$18-'Table G'!$B$26)*(1+'Table G'!$B$18)^10),"")</f>
        <v>500981.88218221924</v>
      </c>
      <c r="F403" s="17">
        <f>IFERROR(('Table G'!$B$14+'Table G'!$B$15)/(1+'Table G'!$B$18)*IF(ABS(((1+$A403)/(1+'Table G'!$B$18))-1)&lt;0.000000001,5,(1-((1+$A403)/(1+'Table G'!$B$18))^5)/(1-((1+$A403)/(1+'Table G'!$B$18))))+('Table G'!$B$14+'Table G'!$B$15)*(1+$A403)^(5-1)*(1+'Table G'!$B$27)/(('Table G'!$B$18-'Table G'!$B$27)*(1+'Table G'!$B$18)^5),"")</f>
        <v>200195.50074385139</v>
      </c>
      <c r="G403" s="17">
        <f>IFERROR(('Table G'!$B$14+'Table G'!$B$15)/(1+'Table G'!$B$18)*IF(ABS(((1+$A403)/(1+'Table G'!$B$18))-1)&lt;0.000000001,10,(1-((1+$A403)/(1+'Table G'!$B$18))^10)/(1-((1+$A403)/(1+'Table G'!$B$18))))+('Table G'!$B$14+'Table G'!$B$15)*(1+$A403)^(10-1)*(1+'Table G'!$B$27)/(('Table G'!$B$18-'Table G'!$B$27)*(1+'Table G'!$B$18)^10),"")</f>
        <v>536396.82050219702</v>
      </c>
    </row>
    <row r="404" spans="1:7" x14ac:dyDescent="0.2">
      <c r="A404" s="8">
        <f>-0.1+400*$B$2</f>
        <v>0.30000000000000004</v>
      </c>
      <c r="B404" s="17">
        <f>IFERROR(('Table G'!$B$14+'Table G'!$B$15)/(1+'Table G'!$B$18)*IF(ABS(((1+$A404)/(1+'Table G'!$B$18))-1)&lt;0.000000001,5,(1-((1+$A404)/(1+'Table G'!$B$18))^5)/(1-((1+$A404)/(1+'Table G'!$B$18))))+('Table G'!$B$14+'Table G'!$B$15)*(1+$A404)^(5-1)*(1+'Table G'!$B$25)/(('Table G'!$B$18-'Table G'!$B$25)*(1+'Table G'!$B$18)^5),"")</f>
        <v>174584.50271857064</v>
      </c>
      <c r="C404" s="17">
        <f>IFERROR(('Table G'!$B$14+'Table G'!$B$15)/(1+'Table G'!$B$18)*IF(ABS(((1+$A404)/(1+'Table G'!$B$18))-1)&lt;0.000000001,10,(1-((1+$A404)/(1+'Table G'!$B$18))^10)/(1-((1+$A404)/(1+'Table G'!$B$18))))+('Table G'!$B$14+'Table G'!$B$15)*(1+$A404)^(10-1)*(1+'Table G'!$B$25)/(('Table G'!$B$18-'Table G'!$B$25)*(1+'Table G'!$B$18)^10),"")</f>
        <v>473811.63603751321</v>
      </c>
      <c r="D404" s="17">
        <f>IFERROR(('Table G'!$B$14+'Table G'!$B$15)/(1+'Table G'!$B$18)*IF(ABS(((1+$A404)/(1+'Table G'!$B$18))-1)&lt;0.000000001,5,(1-((1+$A404)/(1+'Table G'!$B$18))^5)/(1-((1+$A404)/(1+'Table G'!$B$18))))+('Table G'!$B$14+'Table G'!$B$15)*(1+$A404)^(5-1)*(1+'Table G'!$B$26)/(('Table G'!$B$18-'Table G'!$B$26)*(1+'Table G'!$B$18)^5),"")</f>
        <v>186629.08695474884</v>
      </c>
      <c r="E404" s="17">
        <f>IFERROR(('Table G'!$B$14+'Table G'!$B$15)/(1+'Table G'!$B$18)*IF(ABS(((1+$A404)/(1+'Table G'!$B$18))-1)&lt;0.000000001,10,(1-((1+$A404)/(1+'Table G'!$B$18))^10)/(1-((1+$A404)/(1+'Table G'!$B$18))))+('Table G'!$B$14+'Table G'!$B$15)*(1+$A404)^(10-1)*(1+'Table G'!$B$26)/(('Table G'!$B$18-'Table G'!$B$26)*(1+'Table G'!$B$18)^10),"")</f>
        <v>504185.23336271569</v>
      </c>
      <c r="F404" s="17">
        <f>IFERROR(('Table G'!$B$14+'Table G'!$B$15)/(1+'Table G'!$B$18)*IF(ABS(((1+$A404)/(1+'Table G'!$B$18))-1)&lt;0.000000001,5,(1-((1+$A404)/(1+'Table G'!$B$18))^5)/(1-((1+$A404)/(1+'Table G'!$B$18))))+('Table G'!$B$14+'Table G'!$B$15)*(1+$A404)^(5-1)*(1+'Table G'!$B$27)/(('Table G'!$B$18-'Table G'!$B$27)*(1+'Table G'!$B$18)^5),"")</f>
        <v>200770.40477984922</v>
      </c>
      <c r="G404" s="17">
        <f>IFERROR(('Table G'!$B$14+'Table G'!$B$15)/(1+'Table G'!$B$18)*IF(ABS(((1+$A404)/(1+'Table G'!$B$18))-1)&lt;0.000000001,10,(1-((1+$A404)/(1+'Table G'!$B$18))^10)/(1-((1+$A404)/(1+'Table G'!$B$18))))+('Table G'!$B$14+'Table G'!$B$15)*(1+$A404)^(10-1)*(1+'Table G'!$B$27)/(('Table G'!$B$18-'Table G'!$B$27)*(1+'Table G'!$B$18)^10),"")</f>
        <v>539846.2976921224</v>
      </c>
    </row>
    <row r="405" spans="1:7" x14ac:dyDescent="0.2"/>
    <row r="406" spans="1:7" x14ac:dyDescent="0.2"/>
    <row r="407" spans="1:7" x14ac:dyDescent="0.2"/>
    <row r="408" spans="1:7" x14ac:dyDescent="0.2"/>
    <row r="409" spans="1:7" x14ac:dyDescent="0.2"/>
    <row r="410" spans="1:7" x14ac:dyDescent="0.2"/>
    <row r="411" spans="1:7" x14ac:dyDescent="0.2"/>
    <row r="412" spans="1:7" x14ac:dyDescent="0.2"/>
    <row r="413" spans="1:7" x14ac:dyDescent="0.2"/>
    <row r="414" spans="1:7" x14ac:dyDescent="0.2"/>
    <row r="415" spans="1:7" x14ac:dyDescent="0.2"/>
    <row r="416" spans="1:7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  <row r="447" x14ac:dyDescent="0.2"/>
    <row r="448" x14ac:dyDescent="0.2"/>
    <row r="449" x14ac:dyDescent="0.2"/>
    <row r="450" x14ac:dyDescent="0.2"/>
    <row r="451" x14ac:dyDescent="0.2"/>
    <row r="452" x14ac:dyDescent="0.2"/>
    <row r="453" x14ac:dyDescent="0.2"/>
    <row r="454" x14ac:dyDescent="0.2"/>
    <row r="455" x14ac:dyDescent="0.2"/>
    <row r="456" x14ac:dyDescent="0.2"/>
    <row r="457" x14ac:dyDescent="0.2"/>
    <row r="458" x14ac:dyDescent="0.2"/>
    <row r="459" x14ac:dyDescent="0.2"/>
    <row r="460" x14ac:dyDescent="0.2"/>
    <row r="461" x14ac:dyDescent="0.2"/>
    <row r="462" x14ac:dyDescent="0.2"/>
    <row r="463" x14ac:dyDescent="0.2"/>
    <row r="464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0" x14ac:dyDescent="0.2"/>
    <row r="491" x14ac:dyDescent="0.2"/>
    <row r="492" x14ac:dyDescent="0.2"/>
    <row r="493" x14ac:dyDescent="0.2"/>
    <row r="494" x14ac:dyDescent="0.2"/>
    <row r="495" x14ac:dyDescent="0.2"/>
    <row r="496" x14ac:dyDescent="0.2"/>
    <row r="497" x14ac:dyDescent="0.2"/>
    <row r="498" x14ac:dyDescent="0.2"/>
    <row r="499" x14ac:dyDescent="0.2"/>
    <row r="500" x14ac:dyDescent="0.2"/>
    <row r="501" x14ac:dyDescent="0.2"/>
    <row r="502" x14ac:dyDescent="0.2"/>
    <row r="503" x14ac:dyDescent="0.2"/>
    <row r="504" x14ac:dyDescent="0.2"/>
    <row r="505" x14ac:dyDescent="0.2"/>
    <row r="506" x14ac:dyDescent="0.2"/>
    <row r="507" x14ac:dyDescent="0.2"/>
    <row r="508" x14ac:dyDescent="0.2"/>
    <row r="509" x14ac:dyDescent="0.2"/>
    <row r="510" x14ac:dyDescent="0.2"/>
    <row r="511" x14ac:dyDescent="0.2"/>
    <row r="512" x14ac:dyDescent="0.2"/>
    <row r="513" x14ac:dyDescent="0.2"/>
    <row r="514" x14ac:dyDescent="0.2"/>
    <row r="515" x14ac:dyDescent="0.2"/>
    <row r="516" x14ac:dyDescent="0.2"/>
    <row r="517" x14ac:dyDescent="0.2"/>
    <row r="518" x14ac:dyDescent="0.2"/>
    <row r="519" x14ac:dyDescent="0.2"/>
    <row r="520" x14ac:dyDescent="0.2"/>
    <row r="521" x14ac:dyDescent="0.2"/>
    <row r="522" x14ac:dyDescent="0.2"/>
    <row r="523" x14ac:dyDescent="0.2"/>
    <row r="524" x14ac:dyDescent="0.2"/>
    <row r="525" x14ac:dyDescent="0.2"/>
    <row r="526" x14ac:dyDescent="0.2"/>
    <row r="527" x14ac:dyDescent="0.2"/>
    <row r="528" x14ac:dyDescent="0.2"/>
    <row r="529" x14ac:dyDescent="0.2"/>
    <row r="530" x14ac:dyDescent="0.2"/>
    <row r="531" x14ac:dyDescent="0.2"/>
    <row r="532" x14ac:dyDescent="0.2"/>
    <row r="533" x14ac:dyDescent="0.2"/>
    <row r="534" x14ac:dyDescent="0.2"/>
    <row r="535" x14ac:dyDescent="0.2"/>
    <row r="536" x14ac:dyDescent="0.2"/>
    <row r="537" x14ac:dyDescent="0.2"/>
    <row r="538" x14ac:dyDescent="0.2"/>
    <row r="539" x14ac:dyDescent="0.2"/>
    <row r="540" x14ac:dyDescent="0.2"/>
    <row r="541" x14ac:dyDescent="0.2"/>
    <row r="542" x14ac:dyDescent="0.2"/>
    <row r="543" x14ac:dyDescent="0.2"/>
    <row r="544" x14ac:dyDescent="0.2"/>
    <row r="545" x14ac:dyDescent="0.2"/>
    <row r="546" x14ac:dyDescent="0.2"/>
    <row r="547" x14ac:dyDescent="0.2"/>
    <row r="548" x14ac:dyDescent="0.2"/>
    <row r="549" x14ac:dyDescent="0.2"/>
    <row r="550" x14ac:dyDescent="0.2"/>
    <row r="551" x14ac:dyDescent="0.2"/>
    <row r="552" x14ac:dyDescent="0.2"/>
    <row r="553" x14ac:dyDescent="0.2"/>
    <row r="554" x14ac:dyDescent="0.2"/>
    <row r="555" x14ac:dyDescent="0.2"/>
    <row r="556" x14ac:dyDescent="0.2"/>
    <row r="557" x14ac:dyDescent="0.2"/>
    <row r="558" x14ac:dyDescent="0.2"/>
    <row r="559" x14ac:dyDescent="0.2"/>
    <row r="560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  <row r="582" x14ac:dyDescent="0.2"/>
    <row r="583" x14ac:dyDescent="0.2"/>
    <row r="584" x14ac:dyDescent="0.2"/>
    <row r="585" x14ac:dyDescent="0.2"/>
    <row r="586" x14ac:dyDescent="0.2"/>
    <row r="587" x14ac:dyDescent="0.2"/>
    <row r="588" x14ac:dyDescent="0.2"/>
    <row r="589" x14ac:dyDescent="0.2"/>
    <row r="590" x14ac:dyDescent="0.2"/>
    <row r="591" x14ac:dyDescent="0.2"/>
    <row r="592" x14ac:dyDescent="0.2"/>
    <row r="593" x14ac:dyDescent="0.2"/>
    <row r="594" x14ac:dyDescent="0.2"/>
    <row r="595" x14ac:dyDescent="0.2"/>
    <row r="596" x14ac:dyDescent="0.2"/>
    <row r="597" x14ac:dyDescent="0.2"/>
    <row r="598" x14ac:dyDescent="0.2"/>
    <row r="599" x14ac:dyDescent="0.2"/>
    <row r="600" x14ac:dyDescent="0.2"/>
    <row r="601" x14ac:dyDescent="0.2"/>
    <row r="602" x14ac:dyDescent="0.2"/>
    <row r="603" x14ac:dyDescent="0.2"/>
    <row r="604" x14ac:dyDescent="0.2"/>
    <row r="605" x14ac:dyDescent="0.2"/>
    <row r="606" x14ac:dyDescent="0.2"/>
    <row r="607" x14ac:dyDescent="0.2"/>
    <row r="608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2" x14ac:dyDescent="0.2"/>
    <row r="653" x14ac:dyDescent="0.2"/>
    <row r="654" x14ac:dyDescent="0.2"/>
    <row r="655" x14ac:dyDescent="0.2"/>
    <row r="656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x14ac:dyDescent="0.2"/>
    <row r="773" x14ac:dyDescent="0.2"/>
    <row r="774" x14ac:dyDescent="0.2"/>
    <row r="775" x14ac:dyDescent="0.2"/>
    <row r="776" x14ac:dyDescent="0.2"/>
    <row r="777" x14ac:dyDescent="0.2"/>
    <row r="778" x14ac:dyDescent="0.2"/>
    <row r="779" x14ac:dyDescent="0.2"/>
    <row r="780" x14ac:dyDescent="0.2"/>
    <row r="781" x14ac:dyDescent="0.2"/>
    <row r="782" x14ac:dyDescent="0.2"/>
    <row r="783" x14ac:dyDescent="0.2"/>
    <row r="784" x14ac:dyDescent="0.2"/>
    <row r="785" x14ac:dyDescent="0.2"/>
    <row r="786" x14ac:dyDescent="0.2"/>
    <row r="787" x14ac:dyDescent="0.2"/>
    <row r="788" x14ac:dyDescent="0.2"/>
    <row r="789" x14ac:dyDescent="0.2"/>
    <row r="790" x14ac:dyDescent="0.2"/>
    <row r="791" x14ac:dyDescent="0.2"/>
    <row r="792" x14ac:dyDescent="0.2"/>
    <row r="793" x14ac:dyDescent="0.2"/>
    <row r="794" x14ac:dyDescent="0.2"/>
    <row r="795" x14ac:dyDescent="0.2"/>
    <row r="796" x14ac:dyDescent="0.2"/>
    <row r="797" x14ac:dyDescent="0.2"/>
    <row r="798" x14ac:dyDescent="0.2"/>
    <row r="799" x14ac:dyDescent="0.2"/>
    <row r="800" x14ac:dyDescent="0.2"/>
    <row r="801" x14ac:dyDescent="0.2"/>
    <row r="802" x14ac:dyDescent="0.2"/>
    <row r="803" x14ac:dyDescent="0.2"/>
    <row r="804" x14ac:dyDescent="0.2"/>
    <row r="805" x14ac:dyDescent="0.2"/>
    <row r="806" x14ac:dyDescent="0.2"/>
    <row r="807" x14ac:dyDescent="0.2"/>
    <row r="808" x14ac:dyDescent="0.2"/>
    <row r="809" x14ac:dyDescent="0.2"/>
    <row r="810" x14ac:dyDescent="0.2"/>
    <row r="811" x14ac:dyDescent="0.2"/>
    <row r="812" x14ac:dyDescent="0.2"/>
    <row r="813" x14ac:dyDescent="0.2"/>
    <row r="814" x14ac:dyDescent="0.2"/>
    <row r="815" x14ac:dyDescent="0.2"/>
    <row r="816" x14ac:dyDescent="0.2"/>
    <row r="817" x14ac:dyDescent="0.2"/>
    <row r="818" x14ac:dyDescent="0.2"/>
    <row r="819" x14ac:dyDescent="0.2"/>
    <row r="820" x14ac:dyDescent="0.2"/>
    <row r="821" x14ac:dyDescent="0.2"/>
    <row r="822" x14ac:dyDescent="0.2"/>
    <row r="823" x14ac:dyDescent="0.2"/>
    <row r="824" x14ac:dyDescent="0.2"/>
    <row r="825" x14ac:dyDescent="0.2"/>
    <row r="826" x14ac:dyDescent="0.2"/>
    <row r="827" x14ac:dyDescent="0.2"/>
    <row r="828" x14ac:dyDescent="0.2"/>
    <row r="829" x14ac:dyDescent="0.2"/>
    <row r="830" x14ac:dyDescent="0.2"/>
    <row r="831" x14ac:dyDescent="0.2"/>
    <row r="832" x14ac:dyDescent="0.2"/>
    <row r="833" x14ac:dyDescent="0.2"/>
    <row r="834" x14ac:dyDescent="0.2"/>
    <row r="835" x14ac:dyDescent="0.2"/>
    <row r="836" x14ac:dyDescent="0.2"/>
    <row r="837" x14ac:dyDescent="0.2"/>
    <row r="838" x14ac:dyDescent="0.2"/>
    <row r="839" x14ac:dyDescent="0.2"/>
    <row r="840" x14ac:dyDescent="0.2"/>
    <row r="841" x14ac:dyDescent="0.2"/>
    <row r="842" x14ac:dyDescent="0.2"/>
    <row r="843" x14ac:dyDescent="0.2"/>
    <row r="844" x14ac:dyDescent="0.2"/>
    <row r="845" x14ac:dyDescent="0.2"/>
    <row r="846" x14ac:dyDescent="0.2"/>
    <row r="847" x14ac:dyDescent="0.2"/>
    <row r="848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  <row r="861" x14ac:dyDescent="0.2"/>
    <row r="862" x14ac:dyDescent="0.2"/>
    <row r="863" x14ac:dyDescent="0.2"/>
    <row r="864" x14ac:dyDescent="0.2"/>
    <row r="865" x14ac:dyDescent="0.2"/>
    <row r="866" x14ac:dyDescent="0.2"/>
    <row r="867" x14ac:dyDescent="0.2"/>
    <row r="868" x14ac:dyDescent="0.2"/>
    <row r="869" x14ac:dyDescent="0.2"/>
    <row r="870" x14ac:dyDescent="0.2"/>
    <row r="871" x14ac:dyDescent="0.2"/>
    <row r="872" x14ac:dyDescent="0.2"/>
    <row r="873" x14ac:dyDescent="0.2"/>
    <row r="874" x14ac:dyDescent="0.2"/>
    <row r="875" x14ac:dyDescent="0.2"/>
    <row r="876" x14ac:dyDescent="0.2"/>
    <row r="877" x14ac:dyDescent="0.2"/>
    <row r="878" x14ac:dyDescent="0.2"/>
    <row r="879" x14ac:dyDescent="0.2"/>
    <row r="880" x14ac:dyDescent="0.2"/>
    <row r="881" x14ac:dyDescent="0.2"/>
    <row r="882" x14ac:dyDescent="0.2"/>
    <row r="883" x14ac:dyDescent="0.2"/>
    <row r="884" x14ac:dyDescent="0.2"/>
    <row r="885" x14ac:dyDescent="0.2"/>
    <row r="886" x14ac:dyDescent="0.2"/>
    <row r="887" x14ac:dyDescent="0.2"/>
    <row r="888" x14ac:dyDescent="0.2"/>
    <row r="889" x14ac:dyDescent="0.2"/>
    <row r="890" x14ac:dyDescent="0.2"/>
    <row r="891" x14ac:dyDescent="0.2"/>
    <row r="892" x14ac:dyDescent="0.2"/>
    <row r="893" x14ac:dyDescent="0.2"/>
    <row r="894" x14ac:dyDescent="0.2"/>
    <row r="895" x14ac:dyDescent="0.2"/>
    <row r="896" x14ac:dyDescent="0.2"/>
    <row r="897" x14ac:dyDescent="0.2"/>
    <row r="898" x14ac:dyDescent="0.2"/>
    <row r="899" x14ac:dyDescent="0.2"/>
    <row r="900" x14ac:dyDescent="0.2"/>
    <row r="901" x14ac:dyDescent="0.2"/>
    <row r="902" x14ac:dyDescent="0.2"/>
    <row r="903" x14ac:dyDescent="0.2"/>
    <row r="904" x14ac:dyDescent="0.2"/>
    <row r="905" x14ac:dyDescent="0.2"/>
    <row r="906" x14ac:dyDescent="0.2"/>
    <row r="907" x14ac:dyDescent="0.2"/>
    <row r="908" x14ac:dyDescent="0.2"/>
    <row r="909" x14ac:dyDescent="0.2"/>
    <row r="910" x14ac:dyDescent="0.2"/>
    <row r="911" x14ac:dyDescent="0.2"/>
    <row r="912" x14ac:dyDescent="0.2"/>
    <row r="913" x14ac:dyDescent="0.2"/>
    <row r="914" x14ac:dyDescent="0.2"/>
    <row r="915" x14ac:dyDescent="0.2"/>
    <row r="916" x14ac:dyDescent="0.2"/>
    <row r="917" x14ac:dyDescent="0.2"/>
    <row r="918" x14ac:dyDescent="0.2"/>
    <row r="919" x14ac:dyDescent="0.2"/>
    <row r="920" x14ac:dyDescent="0.2"/>
    <row r="921" x14ac:dyDescent="0.2"/>
    <row r="922" x14ac:dyDescent="0.2"/>
    <row r="923" x14ac:dyDescent="0.2"/>
    <row r="924" x14ac:dyDescent="0.2"/>
    <row r="925" x14ac:dyDescent="0.2"/>
    <row r="926" x14ac:dyDescent="0.2"/>
    <row r="927" x14ac:dyDescent="0.2"/>
    <row r="928" x14ac:dyDescent="0.2"/>
    <row r="929" x14ac:dyDescent="0.2"/>
    <row r="930" x14ac:dyDescent="0.2"/>
    <row r="931" x14ac:dyDescent="0.2"/>
    <row r="932" x14ac:dyDescent="0.2"/>
    <row r="933" x14ac:dyDescent="0.2"/>
    <row r="934" x14ac:dyDescent="0.2"/>
    <row r="935" x14ac:dyDescent="0.2"/>
    <row r="936" x14ac:dyDescent="0.2"/>
    <row r="937" x14ac:dyDescent="0.2"/>
    <row r="938" x14ac:dyDescent="0.2"/>
    <row r="939" x14ac:dyDescent="0.2"/>
    <row r="940" x14ac:dyDescent="0.2"/>
    <row r="941" x14ac:dyDescent="0.2"/>
    <row r="942" x14ac:dyDescent="0.2"/>
    <row r="943" x14ac:dyDescent="0.2"/>
    <row r="944" x14ac:dyDescent="0.2"/>
    <row r="945" x14ac:dyDescent="0.2"/>
    <row r="946" x14ac:dyDescent="0.2"/>
    <row r="947" x14ac:dyDescent="0.2"/>
    <row r="948" x14ac:dyDescent="0.2"/>
    <row r="949" x14ac:dyDescent="0.2"/>
    <row r="950" x14ac:dyDescent="0.2"/>
    <row r="951" x14ac:dyDescent="0.2"/>
    <row r="952" x14ac:dyDescent="0.2"/>
    <row r="953" x14ac:dyDescent="0.2"/>
    <row r="954" x14ac:dyDescent="0.2"/>
    <row r="955" x14ac:dyDescent="0.2"/>
    <row r="956" x14ac:dyDescent="0.2"/>
    <row r="957" x14ac:dyDescent="0.2"/>
    <row r="958" x14ac:dyDescent="0.2"/>
    <row r="959" x14ac:dyDescent="0.2"/>
    <row r="960" x14ac:dyDescent="0.2"/>
    <row r="961" x14ac:dyDescent="0.2"/>
    <row r="962" x14ac:dyDescent="0.2"/>
    <row r="963" x14ac:dyDescent="0.2"/>
    <row r="964" x14ac:dyDescent="0.2"/>
    <row r="965" x14ac:dyDescent="0.2"/>
    <row r="966" x14ac:dyDescent="0.2"/>
    <row r="967" x14ac:dyDescent="0.2"/>
    <row r="968" x14ac:dyDescent="0.2"/>
    <row r="969" x14ac:dyDescent="0.2"/>
    <row r="970" x14ac:dyDescent="0.2"/>
    <row r="971" x14ac:dyDescent="0.2"/>
    <row r="972" x14ac:dyDescent="0.2"/>
    <row r="973" x14ac:dyDescent="0.2"/>
    <row r="974" x14ac:dyDescent="0.2"/>
    <row r="975" x14ac:dyDescent="0.2"/>
    <row r="976" x14ac:dyDescent="0.2"/>
    <row r="977" x14ac:dyDescent="0.2"/>
    <row r="978" x14ac:dyDescent="0.2"/>
    <row r="979" x14ac:dyDescent="0.2"/>
    <row r="980" x14ac:dyDescent="0.2"/>
    <row r="981" x14ac:dyDescent="0.2"/>
    <row r="982" x14ac:dyDescent="0.2"/>
    <row r="983" x14ac:dyDescent="0.2"/>
    <row r="984" x14ac:dyDescent="0.2"/>
    <row r="985" x14ac:dyDescent="0.2"/>
    <row r="986" x14ac:dyDescent="0.2"/>
    <row r="987" x14ac:dyDescent="0.2"/>
    <row r="988" x14ac:dyDescent="0.2"/>
    <row r="989" x14ac:dyDescent="0.2"/>
    <row r="990" x14ac:dyDescent="0.2"/>
    <row r="991" x14ac:dyDescent="0.2"/>
    <row r="992" x14ac:dyDescent="0.2"/>
    <row r="993" x14ac:dyDescent="0.2"/>
    <row r="994" x14ac:dyDescent="0.2"/>
    <row r="995" x14ac:dyDescent="0.2"/>
    <row r="996" x14ac:dyDescent="0.2"/>
    <row r="997" x14ac:dyDescent="0.2"/>
    <row r="998" x14ac:dyDescent="0.2"/>
    <row r="999" x14ac:dyDescent="0.2"/>
    <row r="1000" x14ac:dyDescent="0.2"/>
  </sheetData>
  <pageMargins left="0.75" right="0.75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8"/>
  <sheetViews>
    <sheetView workbookViewId="0"/>
  </sheetViews>
  <sheetFormatPr baseColWidth="10" defaultColWidth="14.3984375" defaultRowHeight="15.75" customHeight="1" x14ac:dyDescent="0.2"/>
  <sheetData>
    <row r="1" spans="1:7" x14ac:dyDescent="0.2">
      <c r="A1" s="1" t="s">
        <v>0</v>
      </c>
      <c r="B1" s="1" t="s">
        <v>3</v>
      </c>
      <c r="C1" s="1" t="s">
        <v>5</v>
      </c>
      <c r="D1" s="1" t="s">
        <v>8</v>
      </c>
      <c r="E1" s="1" t="s">
        <v>10</v>
      </c>
      <c r="F1" s="1" t="s">
        <v>11</v>
      </c>
      <c r="G1" s="1" t="s">
        <v>12</v>
      </c>
    </row>
    <row r="2" spans="1:7" x14ac:dyDescent="0.2">
      <c r="A2" s="5" t="s">
        <v>14</v>
      </c>
      <c r="B2" s="6">
        <v>15434.1</v>
      </c>
      <c r="C2" s="6">
        <v>16473.599999999999</v>
      </c>
      <c r="D2" s="11">
        <f t="shared" ref="D2:D8" si="0">IFERROR(C2/B2-1,"")</f>
        <v>6.7350865939704851E-2</v>
      </c>
      <c r="E2" s="6">
        <f>'Table B'!J3</f>
        <v>20560.900000000001</v>
      </c>
      <c r="F2" s="6">
        <f t="shared" ref="F2:F8" si="1">IFERROR(E2+C2-B2,"")</f>
        <v>21600.400000000001</v>
      </c>
      <c r="G2" s="11">
        <f t="shared" ref="G2:G8" si="2">IFERROR(F2/E2-1,"")</f>
        <v>5.0557125417661775E-2</v>
      </c>
    </row>
    <row r="3" spans="1:7" x14ac:dyDescent="0.2">
      <c r="A3" s="5" t="s">
        <v>42</v>
      </c>
      <c r="B3" s="6">
        <v>881.3</v>
      </c>
      <c r="C3" s="6">
        <v>999.4</v>
      </c>
      <c r="D3" s="11">
        <f t="shared" si="0"/>
        <v>0.13400658118688313</v>
      </c>
      <c r="E3" s="6">
        <f>'Table B'!J7</f>
        <v>1189.0999999999999</v>
      </c>
      <c r="F3" s="6">
        <f t="shared" si="1"/>
        <v>1307.2</v>
      </c>
      <c r="G3" s="11">
        <f t="shared" si="2"/>
        <v>9.9318812547304791E-2</v>
      </c>
    </row>
    <row r="4" spans="1:7" x14ac:dyDescent="0.2">
      <c r="A4" s="5" t="s">
        <v>44</v>
      </c>
      <c r="B4" s="6">
        <f>1000.7+2982.5+283.2-2680.6</f>
        <v>1585.7999999999997</v>
      </c>
      <c r="C4" s="6">
        <f>3977.3+318.2-3228.4</f>
        <v>1067.0999999999999</v>
      </c>
      <c r="D4" s="11">
        <f t="shared" si="0"/>
        <v>-0.32709042754445705</v>
      </c>
      <c r="E4" s="6">
        <f>SUM('Table B'!J26:J29)-SUM('Table B'!J23:J24)</f>
        <v>1257.1999999999989</v>
      </c>
      <c r="F4" s="6">
        <f t="shared" si="1"/>
        <v>738.49999999999909</v>
      </c>
      <c r="G4" s="11">
        <f t="shared" si="2"/>
        <v>-0.4125835189309579</v>
      </c>
    </row>
    <row r="5" spans="1:7" x14ac:dyDescent="0.2">
      <c r="A5" s="14" t="s">
        <v>49</v>
      </c>
      <c r="B5" s="15">
        <v>3169</v>
      </c>
      <c r="C5" s="15">
        <v>3434.9</v>
      </c>
      <c r="D5" s="11">
        <f t="shared" si="0"/>
        <v>8.3906595140422979E-2</v>
      </c>
      <c r="E5" s="6">
        <f>'Table B'!J19</f>
        <v>4079.7000000000003</v>
      </c>
      <c r="F5" s="6">
        <f t="shared" si="1"/>
        <v>4345.6000000000004</v>
      </c>
      <c r="G5" s="11">
        <f t="shared" si="2"/>
        <v>6.5176361006936911E-2</v>
      </c>
    </row>
    <row r="6" spans="1:7" x14ac:dyDescent="0.2">
      <c r="A6" s="14" t="s">
        <v>53</v>
      </c>
      <c r="B6" s="15">
        <v>3500.5</v>
      </c>
      <c r="C6" s="15">
        <v>4013.2</v>
      </c>
      <c r="D6" s="11">
        <f t="shared" si="0"/>
        <v>0.1464647907441794</v>
      </c>
      <c r="E6" s="6">
        <f>'Table B'!J33</f>
        <v>4939.7</v>
      </c>
      <c r="F6" s="6">
        <f t="shared" si="1"/>
        <v>5452.4</v>
      </c>
      <c r="G6" s="11">
        <f t="shared" si="2"/>
        <v>0.10379172824260574</v>
      </c>
    </row>
    <row r="7" spans="1:7" x14ac:dyDescent="0.2">
      <c r="A7" s="14" t="s">
        <v>55</v>
      </c>
      <c r="B7" s="15">
        <v>134.6</v>
      </c>
      <c r="C7" s="15">
        <v>123.8</v>
      </c>
      <c r="D7" s="11">
        <f t="shared" si="0"/>
        <v>-8.0237741456166356E-2</v>
      </c>
      <c r="E7" s="6">
        <f>'Table B'!J34</f>
        <v>168.7</v>
      </c>
      <c r="F7" s="6">
        <f t="shared" si="1"/>
        <v>157.9</v>
      </c>
      <c r="G7" s="11">
        <f t="shared" si="2"/>
        <v>-6.401896858328382E-2</v>
      </c>
    </row>
    <row r="8" spans="1:7" x14ac:dyDescent="0.2">
      <c r="A8" s="14" t="s">
        <v>56</v>
      </c>
      <c r="B8" s="15">
        <v>276.8</v>
      </c>
      <c r="C8" s="15">
        <v>352.4</v>
      </c>
      <c r="D8" s="11">
        <f t="shared" si="0"/>
        <v>0.27312138728323676</v>
      </c>
      <c r="E8" s="6">
        <f>'Table B'!J35</f>
        <v>378.3</v>
      </c>
      <c r="F8" s="6">
        <f t="shared" si="1"/>
        <v>453.90000000000003</v>
      </c>
      <c r="G8" s="11">
        <f t="shared" si="2"/>
        <v>0.19984139571768433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30"/>
  <sheetViews>
    <sheetView workbookViewId="0"/>
  </sheetViews>
  <sheetFormatPr baseColWidth="10" defaultColWidth="14.3984375" defaultRowHeight="15.75" customHeight="1" x14ac:dyDescent="0.2"/>
  <sheetData>
    <row r="1" spans="1:12" x14ac:dyDescent="0.2">
      <c r="A1" s="1" t="s">
        <v>1</v>
      </c>
    </row>
    <row r="2" spans="1:12" x14ac:dyDescent="0.2">
      <c r="A2" s="3" t="s">
        <v>6</v>
      </c>
      <c r="B2" s="3" t="s">
        <v>4</v>
      </c>
      <c r="C2" s="7" t="s">
        <v>7</v>
      </c>
      <c r="D2" s="7" t="s">
        <v>9</v>
      </c>
      <c r="E2" s="7" t="s">
        <v>13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7" t="s">
        <v>22</v>
      </c>
      <c r="L2" s="7" t="s">
        <v>24</v>
      </c>
    </row>
    <row r="3" spans="1:12" x14ac:dyDescent="0.2">
      <c r="A3" s="63" t="s">
        <v>25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5"/>
    </row>
    <row r="4" spans="1:12" x14ac:dyDescent="0.2">
      <c r="A4" s="12" t="s">
        <v>36</v>
      </c>
      <c r="B4" s="12" t="s">
        <v>38</v>
      </c>
      <c r="C4" s="12" t="str">
        <f t="shared" ref="C4:C5" si="0">""</f>
        <v/>
      </c>
      <c r="D4" s="13">
        <v>6.3E-2</v>
      </c>
      <c r="E4" s="13">
        <v>3.4000000000000002E-2</v>
      </c>
      <c r="F4" s="13">
        <v>2.8500000000000001E-2</v>
      </c>
      <c r="G4" s="13">
        <v>9.9500000000000005E-2</v>
      </c>
      <c r="H4" s="13">
        <v>9.1800000000000007E-2</v>
      </c>
      <c r="I4" s="13">
        <v>6.6100000000000006E-2</v>
      </c>
      <c r="J4" s="13">
        <v>7.0699999999999999E-2</v>
      </c>
      <c r="K4" s="13">
        <f t="shared" ref="K4:K5" si="1">AVERAGE(D4:J4)</f>
        <v>6.4799999999999996E-2</v>
      </c>
      <c r="L4" s="13">
        <f t="shared" ref="L4:L5" si="2">MEDIAN(D4:J4)</f>
        <v>6.6100000000000006E-2</v>
      </c>
    </row>
    <row r="5" spans="1:12" x14ac:dyDescent="0.2">
      <c r="A5" s="12" t="s">
        <v>43</v>
      </c>
      <c r="B5" s="12" t="s">
        <v>38</v>
      </c>
      <c r="C5" s="12" t="str">
        <f t="shared" si="0"/>
        <v/>
      </c>
      <c r="D5" s="13">
        <v>0.11688427036148874</v>
      </c>
      <c r="E5" s="13">
        <v>7.104042412193512E-2</v>
      </c>
      <c r="F5" s="13">
        <v>4.0341541888380128E-3</v>
      </c>
      <c r="G5" s="13">
        <v>0.1367826858607768</v>
      </c>
      <c r="H5" s="13">
        <v>8.573844786087581E-2</v>
      </c>
      <c r="I5" s="13">
        <v>5.4163088414451499E-2</v>
      </c>
      <c r="J5" s="13">
        <v>5.5586078851145082E-2</v>
      </c>
      <c r="K5" s="13">
        <f t="shared" si="1"/>
        <v>7.4889878522787293E-2</v>
      </c>
      <c r="L5" s="13">
        <f t="shared" si="2"/>
        <v>7.104042412193512E-2</v>
      </c>
    </row>
    <row r="6" spans="1:12" x14ac:dyDescent="0.2">
      <c r="A6" s="63" t="s">
        <v>45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5"/>
    </row>
    <row r="7" spans="1:12" x14ac:dyDescent="0.2">
      <c r="A7" s="12" t="s">
        <v>36</v>
      </c>
      <c r="B7" s="12" t="s">
        <v>38</v>
      </c>
      <c r="C7" s="13">
        <v>0.18090000000000001</v>
      </c>
      <c r="D7" s="13">
        <v>0.2051</v>
      </c>
      <c r="E7" s="13">
        <v>0.20799999999999999</v>
      </c>
      <c r="F7" s="13">
        <v>0.21759999999999999</v>
      </c>
      <c r="G7" s="13">
        <v>0.22559999999999999</v>
      </c>
      <c r="H7" s="13">
        <v>0.23619999999999999</v>
      </c>
      <c r="I7" s="13">
        <v>0.23880000000000001</v>
      </c>
      <c r="J7" s="13">
        <v>0.24099999999999999</v>
      </c>
      <c r="K7" s="13">
        <f t="shared" ref="K7:K8" si="3">AVERAGE(C7:J7)</f>
        <v>0.21915000000000001</v>
      </c>
      <c r="L7" s="13">
        <f t="shared" ref="L7:L8" si="4">MEDIAN(C7:J7)</f>
        <v>0.22159999999999999</v>
      </c>
    </row>
    <row r="8" spans="1:12" x14ac:dyDescent="0.2">
      <c r="A8" s="12" t="s">
        <v>43</v>
      </c>
      <c r="B8" s="12" t="s">
        <v>38</v>
      </c>
      <c r="C8" s="13">
        <v>0.3823607780442313</v>
      </c>
      <c r="D8" s="13">
        <v>0.36347249834327372</v>
      </c>
      <c r="E8" s="13">
        <v>0.36146516520232647</v>
      </c>
      <c r="F8" s="13">
        <v>0.3600621179254585</v>
      </c>
      <c r="G8" s="13">
        <v>0.39898518984322484</v>
      </c>
      <c r="H8" s="13">
        <v>0.4060434183459487</v>
      </c>
      <c r="I8" s="13">
        <v>0.41189398101661517</v>
      </c>
      <c r="J8" s="13">
        <v>0.39623454241972828</v>
      </c>
      <c r="K8" s="13">
        <f t="shared" si="3"/>
        <v>0.38506471139260084</v>
      </c>
      <c r="L8" s="13">
        <f t="shared" si="4"/>
        <v>0.38929766023197976</v>
      </c>
    </row>
    <row r="9" spans="1:12" x14ac:dyDescent="0.2">
      <c r="A9" s="10" t="s">
        <v>51</v>
      </c>
      <c r="B9" s="16"/>
      <c r="C9" s="16"/>
      <c r="D9" s="16"/>
      <c r="E9" s="16"/>
      <c r="F9" s="16"/>
      <c r="G9" s="16"/>
      <c r="H9" s="16"/>
      <c r="I9" s="16"/>
      <c r="J9" s="16"/>
      <c r="K9" s="12"/>
      <c r="L9" s="12"/>
    </row>
    <row r="10" spans="1:12" x14ac:dyDescent="0.2">
      <c r="A10" s="12" t="s">
        <v>36</v>
      </c>
      <c r="B10" s="12" t="s">
        <v>38</v>
      </c>
      <c r="C10" s="13">
        <v>0.38369999999999999</v>
      </c>
      <c r="D10" s="13">
        <v>0.4052</v>
      </c>
      <c r="E10" s="13">
        <v>0.37990000000000002</v>
      </c>
      <c r="F10" s="13">
        <v>0.41639999999999999</v>
      </c>
      <c r="G10" s="13">
        <v>0.4289</v>
      </c>
      <c r="H10" s="13">
        <v>0.4491</v>
      </c>
      <c r="I10" s="13">
        <v>0.4098</v>
      </c>
      <c r="J10" s="13">
        <v>0.39760000000000001</v>
      </c>
      <c r="K10" s="13">
        <f t="shared" ref="K10:K11" si="5">AVERAGE(C10:J10)</f>
        <v>0.40882500000000005</v>
      </c>
      <c r="L10" s="13">
        <f t="shared" ref="L10:L11" si="6">MEDIAN(C10:J10)</f>
        <v>0.40749999999999997</v>
      </c>
    </row>
    <row r="11" spans="1:12" x14ac:dyDescent="0.2">
      <c r="A11" s="12" t="s">
        <v>43</v>
      </c>
      <c r="B11" s="12" t="s">
        <v>38</v>
      </c>
      <c r="C11" s="13">
        <v>0.3823607780442313</v>
      </c>
      <c r="D11" s="13">
        <v>0.36347249834327372</v>
      </c>
      <c r="E11" s="13">
        <v>0.36146516520232647</v>
      </c>
      <c r="F11" s="13">
        <v>0.3600621179254585</v>
      </c>
      <c r="G11" s="13">
        <v>0.39898518984322484</v>
      </c>
      <c r="H11" s="13">
        <v>0.4060434183459487</v>
      </c>
      <c r="I11" s="13">
        <v>0.41189398101661517</v>
      </c>
      <c r="J11" s="13">
        <v>0.39623454241972828</v>
      </c>
      <c r="K11" s="13">
        <f t="shared" si="5"/>
        <v>0.38506471139260084</v>
      </c>
      <c r="L11" s="13">
        <f t="shared" si="6"/>
        <v>0.38929766023197976</v>
      </c>
    </row>
    <row r="12" spans="1:12" x14ac:dyDescent="0.2">
      <c r="A12" s="63" t="s">
        <v>61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5"/>
    </row>
    <row r="13" spans="1:12" x14ac:dyDescent="0.2">
      <c r="A13" s="12" t="s">
        <v>36</v>
      </c>
      <c r="B13" s="12" t="s">
        <v>38</v>
      </c>
      <c r="C13" s="12" t="str">
        <f t="shared" ref="C13:C14" si="7">""</f>
        <v/>
      </c>
      <c r="D13" s="13">
        <v>0.38940000000000002</v>
      </c>
      <c r="E13" s="13">
        <v>0.3518</v>
      </c>
      <c r="F13" s="13">
        <v>0.36899999999999999</v>
      </c>
      <c r="G13" s="13">
        <v>0.48630000000000001</v>
      </c>
      <c r="H13" s="13">
        <v>0.65100000000000002</v>
      </c>
      <c r="I13" s="13">
        <v>0.70730000000000004</v>
      </c>
      <c r="J13" s="13">
        <v>0.43280000000000002</v>
      </c>
      <c r="K13" s="13">
        <f t="shared" ref="K13:K14" si="8">AVERAGE(D13:J13)</f>
        <v>0.48394285714285712</v>
      </c>
      <c r="L13" s="13">
        <f t="shared" ref="L13:L14" si="9">MEDIAN(D13:J13)</f>
        <v>0.43280000000000002</v>
      </c>
    </row>
    <row r="14" spans="1:12" x14ac:dyDescent="0.2">
      <c r="A14" s="12" t="s">
        <v>43</v>
      </c>
      <c r="B14" s="12" t="s">
        <v>38</v>
      </c>
      <c r="C14" s="12" t="str">
        <f t="shared" si="7"/>
        <v/>
      </c>
      <c r="D14" s="13">
        <v>0.60464125521304213</v>
      </c>
      <c r="E14" s="13">
        <v>0.31391371622286929</v>
      </c>
      <c r="F14" s="13">
        <v>0.29698098414681146</v>
      </c>
      <c r="G14" s="13">
        <v>0.3594495295397811</v>
      </c>
      <c r="H14" s="13">
        <v>0.37253770207225778</v>
      </c>
      <c r="I14" s="13">
        <v>0.36830310575576353</v>
      </c>
      <c r="J14" s="13">
        <v>0.24349632352941178</v>
      </c>
      <c r="K14" s="13">
        <f t="shared" si="8"/>
        <v>0.36561751663999098</v>
      </c>
      <c r="L14" s="13">
        <f t="shared" si="9"/>
        <v>0.3594495295397811</v>
      </c>
    </row>
    <row r="15" spans="1:12" x14ac:dyDescent="0.2">
      <c r="A15" s="63" t="s">
        <v>64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5"/>
    </row>
    <row r="16" spans="1:12" x14ac:dyDescent="0.2">
      <c r="A16" s="12" t="s">
        <v>67</v>
      </c>
      <c r="B16" s="12" t="s">
        <v>38</v>
      </c>
      <c r="C16" s="13">
        <v>0.90400000000000003</v>
      </c>
      <c r="D16" s="13">
        <v>0.90800000000000003</v>
      </c>
      <c r="E16" s="13">
        <v>0.90500000000000003</v>
      </c>
      <c r="F16" s="13">
        <v>0.92200000000000004</v>
      </c>
      <c r="G16" s="13">
        <v>0.92100000000000004</v>
      </c>
      <c r="H16" s="13">
        <v>0.92200000000000004</v>
      </c>
      <c r="I16" s="13">
        <v>0.92</v>
      </c>
      <c r="J16" s="13">
        <v>0.92100000000000004</v>
      </c>
      <c r="K16" s="13">
        <f t="shared" ref="K16:K17" si="10">AVERAGE(C16:J16)</f>
        <v>0.91537500000000005</v>
      </c>
      <c r="L16" s="13">
        <f t="shared" ref="L16:L17" si="11">MEDIAN(C16:J16)</f>
        <v>0.9205000000000001</v>
      </c>
    </row>
    <row r="17" spans="1:12" x14ac:dyDescent="0.2">
      <c r="A17" s="12" t="s">
        <v>74</v>
      </c>
      <c r="B17" s="12" t="s">
        <v>38</v>
      </c>
      <c r="C17" s="13">
        <v>0.08</v>
      </c>
      <c r="D17" s="13">
        <v>0.08</v>
      </c>
      <c r="E17" s="13">
        <v>-0.21</v>
      </c>
      <c r="F17" s="13">
        <v>0.23</v>
      </c>
      <c r="G17" s="13">
        <v>0.15</v>
      </c>
      <c r="H17" s="13">
        <v>0.1</v>
      </c>
      <c r="I17" s="13">
        <v>7.0000000000000007E-2</v>
      </c>
      <c r="J17" s="13">
        <v>0.03</v>
      </c>
      <c r="K17" s="13">
        <f t="shared" si="10"/>
        <v>6.6250000000000003E-2</v>
      </c>
      <c r="L17" s="13">
        <f t="shared" si="11"/>
        <v>0.08</v>
      </c>
    </row>
    <row r="18" spans="1:12" x14ac:dyDescent="0.2">
      <c r="A18" s="12" t="s">
        <v>77</v>
      </c>
      <c r="B18" s="12" t="s">
        <v>78</v>
      </c>
      <c r="C18" s="18">
        <v>2815.8730158730164</v>
      </c>
      <c r="D18" s="18">
        <v>2797.4405850091402</v>
      </c>
      <c r="E18" s="18">
        <v>2808.7565674255698</v>
      </c>
      <c r="F18" s="18">
        <v>2802.4350649350654</v>
      </c>
      <c r="G18" s="18">
        <v>2885.369318181818</v>
      </c>
      <c r="H18" s="18">
        <v>3013.7119113573408</v>
      </c>
      <c r="I18" s="18">
        <v>3030.1886792452829</v>
      </c>
      <c r="J18" s="18">
        <v>3141.3929040735879</v>
      </c>
      <c r="K18" s="12"/>
      <c r="L18" s="12"/>
    </row>
    <row r="19" spans="1:12" x14ac:dyDescent="0.2">
      <c r="A19" s="63" t="s">
        <v>81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5"/>
    </row>
    <row r="20" spans="1:12" x14ac:dyDescent="0.2">
      <c r="A20" s="12" t="s">
        <v>83</v>
      </c>
      <c r="B20" s="12" t="s">
        <v>38</v>
      </c>
      <c r="C20" s="13">
        <v>0.81</v>
      </c>
      <c r="D20" s="13">
        <v>0.82</v>
      </c>
      <c r="E20" s="13">
        <v>0.83</v>
      </c>
      <c r="F20" s="13">
        <v>0.85</v>
      </c>
      <c r="G20" s="13">
        <v>0.84</v>
      </c>
      <c r="H20" s="13">
        <v>0.83</v>
      </c>
      <c r="I20" s="13">
        <v>0.83</v>
      </c>
      <c r="J20" s="13">
        <v>0.83</v>
      </c>
      <c r="K20" s="13">
        <f>AVERAGE(C20:J20)</f>
        <v>0.83000000000000007</v>
      </c>
      <c r="L20" s="13">
        <f>MEDIAN(C20:J20)</f>
        <v>0.83</v>
      </c>
    </row>
    <row r="21" spans="1:12" x14ac:dyDescent="0.2">
      <c r="A21" s="12" t="s">
        <v>86</v>
      </c>
      <c r="B21" s="12" t="s">
        <v>38</v>
      </c>
      <c r="C21" s="12" t="str">
        <f>""</f>
        <v/>
      </c>
      <c r="D21" s="13">
        <v>3.076923076923066E-2</v>
      </c>
      <c r="E21" s="13">
        <v>1.4925373134328401E-2</v>
      </c>
      <c r="F21" s="13">
        <v>4.4117647058823595E-2</v>
      </c>
      <c r="G21" s="13">
        <v>2.8169014084507005E-2</v>
      </c>
      <c r="H21" s="13">
        <v>1.3698630136986356E-2</v>
      </c>
      <c r="I21" s="13">
        <v>6.7567567567567988E-3</v>
      </c>
      <c r="J21" s="13">
        <v>7.3825503355704702E-2</v>
      </c>
      <c r="K21" s="13">
        <f>AVERAGE(D21:J21)</f>
        <v>3.0323165042333931E-2</v>
      </c>
      <c r="L21" s="13">
        <f>MEDIAN(D21:J21)</f>
        <v>2.8169014084507005E-2</v>
      </c>
    </row>
    <row r="22" spans="1:12" x14ac:dyDescent="0.2">
      <c r="A22" s="12" t="s">
        <v>90</v>
      </c>
      <c r="B22" s="12" t="s">
        <v>91</v>
      </c>
      <c r="C22" s="18">
        <v>2819.4490818030049</v>
      </c>
      <c r="D22" s="18">
        <v>2444.9125081011016</v>
      </c>
      <c r="E22" s="18">
        <v>2829.481792717087</v>
      </c>
      <c r="F22" s="18">
        <v>2414.7619047619046</v>
      </c>
      <c r="G22" s="18">
        <v>2332.6757713707639</v>
      </c>
      <c r="H22" s="18">
        <v>2309.5479704797049</v>
      </c>
      <c r="I22" s="18">
        <v>2263.4219554030874</v>
      </c>
      <c r="J22" s="18">
        <v>2264.9186991869919</v>
      </c>
      <c r="K22" s="12"/>
      <c r="L22" s="12"/>
    </row>
    <row r="24" spans="1:12" x14ac:dyDescent="0.2">
      <c r="A24" s="1" t="s">
        <v>93</v>
      </c>
    </row>
    <row r="25" spans="1:12" x14ac:dyDescent="0.2">
      <c r="A25" s="5" t="s">
        <v>94</v>
      </c>
    </row>
    <row r="26" spans="1:12" x14ac:dyDescent="0.2">
      <c r="A26" s="5" t="s">
        <v>96</v>
      </c>
    </row>
    <row r="27" spans="1:12" x14ac:dyDescent="0.2">
      <c r="A27" s="5" t="s">
        <v>98</v>
      </c>
    </row>
    <row r="29" spans="1:12" x14ac:dyDescent="0.2">
      <c r="A29" s="1" t="s">
        <v>99</v>
      </c>
    </row>
    <row r="30" spans="1:12" x14ac:dyDescent="0.2">
      <c r="A30" s="5" t="s">
        <v>100</v>
      </c>
    </row>
  </sheetData>
  <mergeCells count="5">
    <mergeCell ref="A3:L3"/>
    <mergeCell ref="A6:L6"/>
    <mergeCell ref="A12:L12"/>
    <mergeCell ref="A15:L15"/>
    <mergeCell ref="A19:L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X107"/>
  <sheetViews>
    <sheetView workbookViewId="0">
      <pane xSplit="1" ySplit="1" topLeftCell="B4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14.3984375" defaultRowHeight="15.75" customHeight="1" x14ac:dyDescent="0.2"/>
  <cols>
    <col min="1" max="1" width="37.19921875" customWidth="1"/>
  </cols>
  <sheetData>
    <row r="1" spans="1:24" ht="14" x14ac:dyDescent="0.2">
      <c r="A1" s="1" t="s">
        <v>0</v>
      </c>
      <c r="B1" s="1" t="s">
        <v>4</v>
      </c>
      <c r="C1" s="1" t="s">
        <v>7</v>
      </c>
      <c r="D1" s="1" t="s">
        <v>9</v>
      </c>
      <c r="E1" s="1" t="s">
        <v>13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/>
      <c r="L1" s="1" t="s">
        <v>21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" x14ac:dyDescent="0.2">
      <c r="A2" s="1" t="s">
        <v>32</v>
      </c>
      <c r="L2" s="5" t="s">
        <v>33</v>
      </c>
    </row>
    <row r="3" spans="1:24" ht="14" x14ac:dyDescent="0.2">
      <c r="A3" s="5" t="s">
        <v>14</v>
      </c>
      <c r="B3" s="5" t="s">
        <v>34</v>
      </c>
      <c r="C3" s="6">
        <v>13274.2</v>
      </c>
      <c r="D3" s="6">
        <v>14110.2</v>
      </c>
      <c r="E3" s="6">
        <v>14589.8</v>
      </c>
      <c r="F3" s="6">
        <v>15005.4</v>
      </c>
      <c r="G3" s="6">
        <v>16498.3</v>
      </c>
      <c r="H3" s="6">
        <v>18012.2</v>
      </c>
      <c r="I3" s="6">
        <v>19202.599999999999</v>
      </c>
      <c r="J3" s="6">
        <v>20560.900000000001</v>
      </c>
      <c r="K3" s="11"/>
      <c r="L3" s="5" t="s">
        <v>35</v>
      </c>
      <c r="Q3" s="5"/>
    </row>
    <row r="4" spans="1:24" ht="14" x14ac:dyDescent="0.2">
      <c r="A4" s="5" t="s">
        <v>37</v>
      </c>
      <c r="B4" s="5" t="s">
        <v>34</v>
      </c>
      <c r="C4" s="6">
        <v>3882.3</v>
      </c>
      <c r="D4" s="6">
        <v>4242.7</v>
      </c>
      <c r="E4" s="6">
        <v>4511.5</v>
      </c>
      <c r="F4" s="6">
        <v>4818.3</v>
      </c>
      <c r="G4" s="6">
        <v>5545.7</v>
      </c>
      <c r="H4" s="6">
        <v>5976.8</v>
      </c>
      <c r="I4" s="6">
        <v>6224.3</v>
      </c>
      <c r="J4" s="6">
        <v>6679.6</v>
      </c>
      <c r="L4" s="5" t="s">
        <v>39</v>
      </c>
      <c r="Q4" s="5"/>
    </row>
    <row r="5" spans="1:24" ht="14" x14ac:dyDescent="0.2">
      <c r="A5" s="5" t="s">
        <v>40</v>
      </c>
      <c r="B5" s="5" t="s">
        <v>34</v>
      </c>
      <c r="C5" s="6">
        <v>2463.1</v>
      </c>
      <c r="D5" s="6">
        <v>2712.5</v>
      </c>
      <c r="E5" s="6">
        <v>2907.7</v>
      </c>
      <c r="F5" s="6">
        <v>3092</v>
      </c>
      <c r="G5" s="6">
        <v>3514.4</v>
      </c>
      <c r="H5" s="6">
        <v>3800.9</v>
      </c>
      <c r="I5" s="6">
        <v>3975.9</v>
      </c>
      <c r="J5" s="6">
        <v>4289</v>
      </c>
      <c r="L5" s="5" t="s">
        <v>39</v>
      </c>
      <c r="Q5" s="5"/>
    </row>
    <row r="6" spans="1:24" ht="14" x14ac:dyDescent="0.2">
      <c r="A6" s="5" t="s">
        <v>41</v>
      </c>
      <c r="B6" s="5" t="s">
        <v>34</v>
      </c>
      <c r="C6" s="6">
        <f t="shared" ref="C6:J6" si="0">C4-C5</f>
        <v>1419.2000000000003</v>
      </c>
      <c r="D6" s="6">
        <f t="shared" si="0"/>
        <v>1530.1999999999998</v>
      </c>
      <c r="E6" s="6">
        <f t="shared" si="0"/>
        <v>1603.8000000000002</v>
      </c>
      <c r="F6" s="6">
        <f t="shared" si="0"/>
        <v>1726.3000000000002</v>
      </c>
      <c r="G6" s="6">
        <f t="shared" si="0"/>
        <v>2031.2999999999997</v>
      </c>
      <c r="H6" s="6">
        <f t="shared" si="0"/>
        <v>2175.9</v>
      </c>
      <c r="I6" s="6">
        <f t="shared" si="0"/>
        <v>2248.4</v>
      </c>
      <c r="J6" s="6">
        <f t="shared" si="0"/>
        <v>2390.6000000000004</v>
      </c>
      <c r="L6" s="5" t="s">
        <v>35</v>
      </c>
      <c r="Q6" s="5"/>
    </row>
    <row r="7" spans="1:24" ht="14" x14ac:dyDescent="0.2">
      <c r="A7" s="5" t="s">
        <v>46</v>
      </c>
      <c r="B7" s="5" t="s">
        <v>34</v>
      </c>
      <c r="C7" s="6">
        <v>466.5</v>
      </c>
      <c r="D7" s="6">
        <v>561.9</v>
      </c>
      <c r="E7" s="6">
        <v>545.20000000000005</v>
      </c>
      <c r="F7" s="6">
        <v>422.4</v>
      </c>
      <c r="G7" s="6">
        <v>451.8</v>
      </c>
      <c r="H7" s="6">
        <v>813.4</v>
      </c>
      <c r="I7" s="6">
        <v>1024.7</v>
      </c>
      <c r="J7" s="6">
        <v>1189.0999999999999</v>
      </c>
      <c r="L7" s="5" t="s">
        <v>35</v>
      </c>
      <c r="Q7" s="5"/>
    </row>
    <row r="8" spans="1:24" ht="14" x14ac:dyDescent="0.2">
      <c r="A8" s="5" t="s">
        <v>47</v>
      </c>
      <c r="B8" s="5" t="s">
        <v>34</v>
      </c>
      <c r="C8" s="6">
        <v>7810.9</v>
      </c>
      <c r="D8" s="6">
        <v>8021.6</v>
      </c>
      <c r="E8" s="6">
        <v>8445.1</v>
      </c>
      <c r="F8" s="6">
        <v>8640.2999999999993</v>
      </c>
      <c r="G8" s="6">
        <v>9461.9</v>
      </c>
      <c r="H8" s="6">
        <v>9953.4</v>
      </c>
      <c r="I8" s="6">
        <v>10476.700000000001</v>
      </c>
      <c r="J8" s="6">
        <v>11097.3</v>
      </c>
      <c r="L8" s="5" t="s">
        <v>35</v>
      </c>
      <c r="Q8" s="5"/>
    </row>
    <row r="9" spans="1:24" ht="14" x14ac:dyDescent="0.2">
      <c r="A9" s="5" t="s">
        <v>48</v>
      </c>
      <c r="B9" s="5" t="s">
        <v>34</v>
      </c>
      <c r="C9" s="6">
        <f t="shared" ref="C9:J9" si="1">C3-C8</f>
        <v>5463.3000000000011</v>
      </c>
      <c r="D9" s="6">
        <f t="shared" si="1"/>
        <v>6088.6</v>
      </c>
      <c r="E9" s="6">
        <f t="shared" si="1"/>
        <v>6144.6999999999989</v>
      </c>
      <c r="F9" s="6">
        <f t="shared" si="1"/>
        <v>6365.1</v>
      </c>
      <c r="G9" s="6">
        <f t="shared" si="1"/>
        <v>7036.4</v>
      </c>
      <c r="H9" s="6">
        <f t="shared" si="1"/>
        <v>8058.8000000000011</v>
      </c>
      <c r="I9" s="6">
        <f t="shared" si="1"/>
        <v>8725.8999999999978</v>
      </c>
      <c r="J9" s="6">
        <f t="shared" si="1"/>
        <v>9463.6000000000022</v>
      </c>
      <c r="L9" s="5" t="s">
        <v>35</v>
      </c>
      <c r="Q9" s="5"/>
    </row>
    <row r="10" spans="1:24" ht="14" x14ac:dyDescent="0.2">
      <c r="A10" s="5" t="s">
        <v>50</v>
      </c>
      <c r="B10" s="5" t="s">
        <v>34</v>
      </c>
      <c r="C10" s="6">
        <v>102.7</v>
      </c>
      <c r="D10" s="6">
        <v>129.9</v>
      </c>
      <c r="E10" s="6">
        <v>107.1</v>
      </c>
      <c r="F10" s="6">
        <v>59.7</v>
      </c>
      <c r="G10" s="6">
        <v>81.900000000000006</v>
      </c>
      <c r="H10" s="6">
        <v>253.3</v>
      </c>
      <c r="I10" s="6">
        <v>361.4</v>
      </c>
      <c r="J10" s="6">
        <v>455.9</v>
      </c>
      <c r="L10" s="5" t="s">
        <v>35</v>
      </c>
    </row>
    <row r="11" spans="1:24" ht="14" x14ac:dyDescent="0.2">
      <c r="A11" s="5" t="s">
        <v>52</v>
      </c>
      <c r="B11" s="5" t="s">
        <v>34</v>
      </c>
      <c r="C11" s="6">
        <v>10873</v>
      </c>
      <c r="D11" s="6">
        <v>11215.7</v>
      </c>
      <c r="E11" s="6">
        <v>11555.2</v>
      </c>
      <c r="F11" s="6">
        <v>11740.5</v>
      </c>
      <c r="G11" s="6">
        <v>12777</v>
      </c>
      <c r="H11" s="6">
        <v>13758.1</v>
      </c>
      <c r="I11" s="6">
        <v>14617</v>
      </c>
      <c r="J11" s="6">
        <v>15604.9</v>
      </c>
      <c r="L11" s="5" t="s">
        <v>35</v>
      </c>
    </row>
    <row r="12" spans="1:24" ht="14" x14ac:dyDescent="0.2">
      <c r="A12" s="5" t="s">
        <v>54</v>
      </c>
      <c r="B12" s="5" t="s">
        <v>34</v>
      </c>
      <c r="C12" s="6">
        <f t="shared" ref="C12:J12" si="2">C3-C11</f>
        <v>2401.2000000000007</v>
      </c>
      <c r="D12" s="6">
        <f t="shared" si="2"/>
        <v>2894.5</v>
      </c>
      <c r="E12" s="6">
        <f t="shared" si="2"/>
        <v>3034.5999999999985</v>
      </c>
      <c r="F12" s="6">
        <f t="shared" si="2"/>
        <v>3264.8999999999996</v>
      </c>
      <c r="G12" s="6">
        <f t="shared" si="2"/>
        <v>3721.2999999999993</v>
      </c>
      <c r="H12" s="6">
        <f t="shared" si="2"/>
        <v>4254.1000000000004</v>
      </c>
      <c r="I12" s="6">
        <f t="shared" si="2"/>
        <v>4585.5999999999985</v>
      </c>
      <c r="J12" s="6">
        <f t="shared" si="2"/>
        <v>4956.0000000000018</v>
      </c>
      <c r="L12" s="5" t="s">
        <v>35</v>
      </c>
    </row>
    <row r="13" spans="1:24" ht="14" x14ac:dyDescent="0.2">
      <c r="A13" s="5" t="s">
        <v>57</v>
      </c>
      <c r="B13" s="5" t="s">
        <v>34</v>
      </c>
      <c r="C13" s="6">
        <v>2598.1</v>
      </c>
      <c r="D13" s="6">
        <v>2957</v>
      </c>
      <c r="E13" s="6">
        <v>3058.2</v>
      </c>
      <c r="F13" s="6">
        <v>3052.1</v>
      </c>
      <c r="G13" s="6">
        <v>3406.3</v>
      </c>
      <c r="H13" s="6">
        <v>3974.2</v>
      </c>
      <c r="I13" s="6">
        <v>4555.5</v>
      </c>
      <c r="J13" s="6">
        <v>5008.5</v>
      </c>
      <c r="L13" s="5" t="s">
        <v>39</v>
      </c>
    </row>
    <row r="14" spans="1:24" ht="14" x14ac:dyDescent="0.2">
      <c r="A14" s="5" t="s">
        <v>58</v>
      </c>
      <c r="B14" s="5" t="s">
        <v>34</v>
      </c>
      <c r="C14" s="6">
        <v>544.6</v>
      </c>
      <c r="D14" s="6">
        <v>620.1</v>
      </c>
      <c r="E14" s="6">
        <v>609.29999999999995</v>
      </c>
      <c r="F14" s="6">
        <v>718.8</v>
      </c>
      <c r="G14" s="6">
        <v>871.2</v>
      </c>
      <c r="H14" s="6">
        <v>977.3</v>
      </c>
      <c r="I14" s="6">
        <v>921.5</v>
      </c>
      <c r="J14" s="6">
        <v>950.5</v>
      </c>
      <c r="L14" s="5" t="s">
        <v>39</v>
      </c>
    </row>
    <row r="15" spans="1:24" ht="14" x14ac:dyDescent="0.2">
      <c r="A15" s="5" t="s">
        <v>59</v>
      </c>
      <c r="B15" s="5" t="s">
        <v>34</v>
      </c>
      <c r="C15" s="6">
        <v>860.1</v>
      </c>
      <c r="D15" s="6">
        <v>571.5</v>
      </c>
      <c r="E15" s="6">
        <v>484.9</v>
      </c>
      <c r="F15" s="6">
        <v>409.7</v>
      </c>
      <c r="G15" s="6">
        <v>473.4</v>
      </c>
      <c r="H15" s="6">
        <v>513.9</v>
      </c>
      <c r="I15" s="6">
        <v>604.70000000000005</v>
      </c>
      <c r="J15" s="6">
        <v>648.9</v>
      </c>
      <c r="L15" s="5" t="s">
        <v>39</v>
      </c>
    </row>
    <row r="16" spans="1:24" ht="14" x14ac:dyDescent="0.2">
      <c r="A16" s="5" t="s">
        <v>60</v>
      </c>
      <c r="B16" s="5" t="s">
        <v>34</v>
      </c>
      <c r="C16" s="6">
        <f t="shared" ref="C16:J16" si="3">C13+C14-C15</f>
        <v>2282.6</v>
      </c>
      <c r="D16" s="6">
        <f t="shared" si="3"/>
        <v>3005.6</v>
      </c>
      <c r="E16" s="6">
        <f t="shared" si="3"/>
        <v>3182.6</v>
      </c>
      <c r="F16" s="6">
        <f t="shared" si="3"/>
        <v>3361.2</v>
      </c>
      <c r="G16" s="6">
        <f t="shared" si="3"/>
        <v>3804.1</v>
      </c>
      <c r="H16" s="6">
        <f t="shared" si="3"/>
        <v>4437.6000000000004</v>
      </c>
      <c r="I16" s="6">
        <f t="shared" si="3"/>
        <v>4872.3</v>
      </c>
      <c r="J16" s="6">
        <f t="shared" si="3"/>
        <v>5310.1</v>
      </c>
      <c r="L16" s="5" t="s">
        <v>35</v>
      </c>
    </row>
    <row r="17" spans="1:12" ht="14" x14ac:dyDescent="0.2">
      <c r="A17" s="5" t="s">
        <v>62</v>
      </c>
      <c r="B17" s="5" t="s">
        <v>34</v>
      </c>
      <c r="C17" s="6">
        <v>397.7</v>
      </c>
      <c r="D17" s="6">
        <v>712.8</v>
      </c>
      <c r="E17" s="6">
        <v>716.1</v>
      </c>
      <c r="F17" s="6">
        <v>762.7</v>
      </c>
      <c r="G17" s="6">
        <v>855.2</v>
      </c>
      <c r="H17" s="6">
        <v>1025.5999999999999</v>
      </c>
      <c r="I17" s="6">
        <v>1120.3</v>
      </c>
      <c r="J17" s="6">
        <v>1230.4000000000001</v>
      </c>
      <c r="L17" s="5" t="s">
        <v>35</v>
      </c>
    </row>
    <row r="18" spans="1:12" ht="14" x14ac:dyDescent="0.2">
      <c r="A18" s="5" t="s">
        <v>63</v>
      </c>
      <c r="B18" s="5" t="s">
        <v>38</v>
      </c>
      <c r="C18" s="11">
        <f t="shared" ref="C18:J18" si="4">C17/C16</f>
        <v>0.17423113992815212</v>
      </c>
      <c r="D18" s="11">
        <f t="shared" si="4"/>
        <v>0.2371573063614586</v>
      </c>
      <c r="E18" s="11">
        <f t="shared" si="4"/>
        <v>0.22500471312763151</v>
      </c>
      <c r="F18" s="11">
        <f t="shared" si="4"/>
        <v>0.22691300725931218</v>
      </c>
      <c r="G18" s="11">
        <f t="shared" si="4"/>
        <v>0.22481007334192057</v>
      </c>
      <c r="H18" s="11">
        <f t="shared" si="4"/>
        <v>0.2311159185145123</v>
      </c>
      <c r="I18" s="11">
        <f t="shared" si="4"/>
        <v>0.22993247542228515</v>
      </c>
      <c r="J18" s="11">
        <f t="shared" si="4"/>
        <v>0.23170938400406771</v>
      </c>
      <c r="L18" s="5" t="s">
        <v>35</v>
      </c>
    </row>
    <row r="19" spans="1:12" ht="14" x14ac:dyDescent="0.2">
      <c r="A19" s="5" t="s">
        <v>49</v>
      </c>
      <c r="B19" s="5" t="s">
        <v>34</v>
      </c>
      <c r="C19" s="6">
        <v>1884.9</v>
      </c>
      <c r="D19" s="6">
        <v>2292.8000000000002</v>
      </c>
      <c r="E19" s="6">
        <v>2466.5</v>
      </c>
      <c r="F19" s="6">
        <v>2598.5</v>
      </c>
      <c r="G19" s="6">
        <v>2948.9</v>
      </c>
      <c r="H19" s="6">
        <f t="shared" ref="H19:J19" si="5">H16-H17</f>
        <v>3412.0000000000005</v>
      </c>
      <c r="I19" s="6">
        <f t="shared" si="5"/>
        <v>3752</v>
      </c>
      <c r="J19" s="6">
        <f t="shared" si="5"/>
        <v>4079.7000000000003</v>
      </c>
      <c r="K19" s="11"/>
      <c r="L19" s="5" t="s">
        <v>35</v>
      </c>
    </row>
    <row r="20" spans="1:12" ht="14" x14ac:dyDescent="0.2">
      <c r="A20" s="5" t="s">
        <v>65</v>
      </c>
      <c r="B20" s="5" t="s">
        <v>66</v>
      </c>
      <c r="C20" s="6">
        <v>443.3</v>
      </c>
      <c r="D20" s="6">
        <v>437.6</v>
      </c>
      <c r="E20" s="6">
        <v>432.7</v>
      </c>
      <c r="F20" s="6">
        <v>428.1</v>
      </c>
      <c r="G20" s="6">
        <v>421.1</v>
      </c>
      <c r="H20" s="6">
        <v>415.7</v>
      </c>
      <c r="I20" s="6">
        <v>412.2</v>
      </c>
      <c r="J20" s="6">
        <v>408.7</v>
      </c>
      <c r="K20" s="11"/>
      <c r="L20" s="5" t="s">
        <v>35</v>
      </c>
    </row>
    <row r="22" spans="1:12" ht="14" x14ac:dyDescent="0.2">
      <c r="A22" s="1" t="s">
        <v>68</v>
      </c>
    </row>
    <row r="23" spans="1:12" ht="14" x14ac:dyDescent="0.2">
      <c r="A23" s="5" t="s">
        <v>69</v>
      </c>
      <c r="B23" s="5" t="s">
        <v>34</v>
      </c>
      <c r="C23" s="6">
        <v>2170</v>
      </c>
      <c r="D23" s="6">
        <v>1949.2</v>
      </c>
      <c r="E23" s="6">
        <v>1908.5</v>
      </c>
      <c r="F23" s="6">
        <v>2575.1999999999998</v>
      </c>
      <c r="G23" s="6">
        <v>1436.3</v>
      </c>
      <c r="H23" s="6">
        <v>2083.5</v>
      </c>
      <c r="I23" s="6">
        <v>2913.4</v>
      </c>
      <c r="J23" s="6">
        <v>3347.8</v>
      </c>
      <c r="L23" s="5" t="s">
        <v>70</v>
      </c>
    </row>
    <row r="24" spans="1:12" ht="14" x14ac:dyDescent="0.2">
      <c r="A24" s="5" t="s">
        <v>71</v>
      </c>
      <c r="B24" s="5" t="s">
        <v>34</v>
      </c>
      <c r="C24" s="6">
        <v>3.3</v>
      </c>
      <c r="D24" s="6">
        <v>10.5</v>
      </c>
      <c r="E24" s="6">
        <v>0</v>
      </c>
      <c r="F24" s="6">
        <v>10.4</v>
      </c>
      <c r="G24" s="6">
        <v>14.7</v>
      </c>
      <c r="H24" s="6">
        <v>47</v>
      </c>
      <c r="I24" s="6">
        <v>384</v>
      </c>
      <c r="J24" s="6">
        <v>4498.8</v>
      </c>
      <c r="L24" s="5" t="s">
        <v>35</v>
      </c>
    </row>
    <row r="25" spans="1:12" ht="14" x14ac:dyDescent="0.2">
      <c r="A25" s="5" t="s">
        <v>72</v>
      </c>
      <c r="B25" s="5" t="s">
        <v>34</v>
      </c>
      <c r="C25" s="6">
        <v>2243.5</v>
      </c>
      <c r="D25" s="6">
        <v>2323</v>
      </c>
      <c r="E25" s="6">
        <v>2309.4</v>
      </c>
      <c r="F25" s="6">
        <v>2338.4</v>
      </c>
      <c r="G25" s="6">
        <v>2300.5</v>
      </c>
      <c r="H25" s="6">
        <v>2339.4</v>
      </c>
      <c r="I25" s="6">
        <v>2353.6</v>
      </c>
      <c r="J25" s="6">
        <v>3273.5</v>
      </c>
      <c r="K25" s="6"/>
      <c r="L25" s="5" t="s">
        <v>35</v>
      </c>
    </row>
    <row r="26" spans="1:12" ht="14" x14ac:dyDescent="0.2">
      <c r="A26" s="5" t="s">
        <v>73</v>
      </c>
      <c r="B26" s="5" t="s">
        <v>34</v>
      </c>
      <c r="C26" s="6">
        <v>43.9</v>
      </c>
      <c r="D26" s="6">
        <v>54.8</v>
      </c>
      <c r="E26" s="6">
        <v>13.6</v>
      </c>
      <c r="F26" s="6">
        <v>23.5</v>
      </c>
      <c r="G26" s="6">
        <v>136.4</v>
      </c>
      <c r="H26" s="6">
        <v>105.4</v>
      </c>
      <c r="I26" s="6">
        <v>385.4</v>
      </c>
      <c r="J26" s="6">
        <v>38.4</v>
      </c>
      <c r="K26" s="6"/>
      <c r="L26" s="5" t="s">
        <v>35</v>
      </c>
    </row>
    <row r="27" spans="1:12" ht="14" x14ac:dyDescent="0.2">
      <c r="A27" s="5" t="s">
        <v>75</v>
      </c>
      <c r="B27" s="5" t="s">
        <v>34</v>
      </c>
      <c r="C27" s="6">
        <v>0</v>
      </c>
      <c r="D27" s="6">
        <v>0</v>
      </c>
      <c r="E27" s="6">
        <v>1001.8</v>
      </c>
      <c r="F27" s="6">
        <v>0</v>
      </c>
      <c r="G27" s="6">
        <v>0</v>
      </c>
      <c r="H27" s="6">
        <v>0</v>
      </c>
      <c r="I27" s="6">
        <v>0</v>
      </c>
      <c r="J27" s="6">
        <v>4769.5</v>
      </c>
      <c r="K27" s="6"/>
      <c r="L27" s="5" t="s">
        <v>35</v>
      </c>
    </row>
    <row r="28" spans="1:12" ht="14" x14ac:dyDescent="0.2">
      <c r="A28" s="5" t="s">
        <v>76</v>
      </c>
      <c r="B28" s="5" t="s">
        <v>34</v>
      </c>
      <c r="C28" s="6">
        <v>2002.4</v>
      </c>
      <c r="D28" s="6">
        <v>2002.2</v>
      </c>
      <c r="E28" s="6">
        <v>1002.8</v>
      </c>
      <c r="F28" s="6">
        <v>2985</v>
      </c>
      <c r="G28" s="6">
        <v>2987.1</v>
      </c>
      <c r="H28" s="6">
        <v>2989</v>
      </c>
      <c r="I28" s="6">
        <v>2991.3</v>
      </c>
      <c r="J28" s="6">
        <v>3974.7</v>
      </c>
      <c r="K28" s="6"/>
      <c r="L28" s="5" t="s">
        <v>35</v>
      </c>
    </row>
    <row r="29" spans="1:12" ht="14" x14ac:dyDescent="0.2">
      <c r="A29" s="5" t="s">
        <v>79</v>
      </c>
      <c r="B29" s="5" t="s">
        <v>34</v>
      </c>
      <c r="C29" s="6">
        <v>539.5</v>
      </c>
      <c r="D29" s="6">
        <v>596.4</v>
      </c>
      <c r="E29" s="6">
        <v>344.4</v>
      </c>
      <c r="F29" s="6">
        <v>343.2</v>
      </c>
      <c r="G29" s="6">
        <v>370.9</v>
      </c>
      <c r="H29" s="6">
        <v>349.9</v>
      </c>
      <c r="I29" s="6">
        <v>328.6</v>
      </c>
      <c r="J29" s="6">
        <v>321.2</v>
      </c>
      <c r="L29" s="5" t="s">
        <v>35</v>
      </c>
    </row>
    <row r="30" spans="1:12" ht="14" x14ac:dyDescent="0.2">
      <c r="A30" s="5" t="s">
        <v>80</v>
      </c>
      <c r="B30" s="5" t="s">
        <v>34</v>
      </c>
      <c r="C30" s="6">
        <v>4735.8999999999996</v>
      </c>
      <c r="D30" s="6">
        <v>5399.9</v>
      </c>
      <c r="E30" s="6">
        <v>5752.2</v>
      </c>
      <c r="F30" s="6">
        <v>5670.1</v>
      </c>
      <c r="G30" s="6">
        <v>3225.3</v>
      </c>
      <c r="H30" s="6">
        <v>3225.3</v>
      </c>
      <c r="I30" s="6">
        <v>4547.6000000000004</v>
      </c>
      <c r="J30" s="6">
        <v>6188</v>
      </c>
      <c r="L30" s="5" t="s">
        <v>35</v>
      </c>
    </row>
    <row r="32" spans="1:12" ht="14" x14ac:dyDescent="0.2">
      <c r="A32" s="1" t="s">
        <v>82</v>
      </c>
    </row>
    <row r="33" spans="1:12" ht="14" x14ac:dyDescent="0.2">
      <c r="A33" s="5" t="s">
        <v>53</v>
      </c>
      <c r="B33" s="5" t="s">
        <v>34</v>
      </c>
      <c r="C33" s="6">
        <v>2515.1999999999998</v>
      </c>
      <c r="D33" s="6">
        <v>2688.3</v>
      </c>
      <c r="E33" s="6">
        <v>3026.2</v>
      </c>
      <c r="F33" s="6">
        <v>3093.3</v>
      </c>
      <c r="G33" s="6">
        <v>3099.5</v>
      </c>
      <c r="H33" s="6">
        <v>4207.6000000000004</v>
      </c>
      <c r="I33" s="6">
        <v>4157.6000000000004</v>
      </c>
      <c r="J33" s="6">
        <v>4939.7</v>
      </c>
      <c r="L33" s="5" t="s">
        <v>35</v>
      </c>
    </row>
    <row r="34" spans="1:12" ht="14" x14ac:dyDescent="0.2">
      <c r="A34" s="5" t="s">
        <v>84</v>
      </c>
      <c r="B34" s="5" t="s">
        <v>34</v>
      </c>
      <c r="C34" s="6">
        <v>206.1</v>
      </c>
      <c r="D34" s="6">
        <v>162</v>
      </c>
      <c r="E34" s="6">
        <v>172.7</v>
      </c>
      <c r="F34" s="6">
        <v>178.6</v>
      </c>
      <c r="G34" s="6">
        <v>174.4</v>
      </c>
      <c r="H34" s="6">
        <v>206.3</v>
      </c>
      <c r="I34" s="6">
        <v>208.4</v>
      </c>
      <c r="J34" s="6">
        <v>168.7</v>
      </c>
      <c r="L34" s="5" t="s">
        <v>35</v>
      </c>
    </row>
    <row r="35" spans="1:12" ht="14" x14ac:dyDescent="0.2">
      <c r="A35" s="5" t="s">
        <v>56</v>
      </c>
      <c r="B35" s="5" t="s">
        <v>34</v>
      </c>
      <c r="C35" s="6">
        <v>264.7</v>
      </c>
      <c r="D35" s="6">
        <v>404.5</v>
      </c>
      <c r="E35" s="6">
        <v>443.7</v>
      </c>
      <c r="F35" s="6">
        <v>327.3</v>
      </c>
      <c r="G35" s="6">
        <v>379</v>
      </c>
      <c r="H35" s="6">
        <v>365.3</v>
      </c>
      <c r="I35" s="6">
        <v>355</v>
      </c>
      <c r="J35" s="6">
        <v>378.3</v>
      </c>
      <c r="L35" s="5" t="s">
        <v>35</v>
      </c>
    </row>
    <row r="36" spans="1:12" ht="14" x14ac:dyDescent="0.2">
      <c r="A36" s="5" t="s">
        <v>85</v>
      </c>
      <c r="B36" s="5" t="s">
        <v>34</v>
      </c>
      <c r="C36" s="6">
        <v>612.4</v>
      </c>
      <c r="D36" s="6">
        <v>125.5</v>
      </c>
      <c r="E36" s="6">
        <v>0</v>
      </c>
      <c r="F36" s="6">
        <v>0</v>
      </c>
      <c r="G36" s="6">
        <v>11.7</v>
      </c>
      <c r="H36" s="6">
        <v>32.4</v>
      </c>
      <c r="I36" s="6">
        <v>33.6</v>
      </c>
      <c r="J36" s="6">
        <v>1165.0999999999999</v>
      </c>
      <c r="L36" s="5" t="s">
        <v>35</v>
      </c>
    </row>
    <row r="37" spans="1:12" ht="14" x14ac:dyDescent="0.2">
      <c r="A37" s="5" t="s">
        <v>87</v>
      </c>
      <c r="B37" s="5" t="s">
        <v>34</v>
      </c>
      <c r="C37" s="6">
        <v>989.3</v>
      </c>
      <c r="D37" s="6">
        <v>937.7</v>
      </c>
      <c r="E37" s="6">
        <v>1006.3</v>
      </c>
      <c r="F37" s="6">
        <v>1372.3</v>
      </c>
      <c r="G37" s="6">
        <v>1969.4</v>
      </c>
      <c r="H37" s="6">
        <v>1121.4000000000001</v>
      </c>
      <c r="I37" s="6">
        <v>1231.7</v>
      </c>
      <c r="J37" s="6">
        <v>1280.5</v>
      </c>
      <c r="L37" s="5" t="s">
        <v>35</v>
      </c>
    </row>
    <row r="38" spans="1:12" ht="14" x14ac:dyDescent="0.2">
      <c r="A38" s="5" t="s">
        <v>88</v>
      </c>
      <c r="B38" s="5" t="s">
        <v>34</v>
      </c>
      <c r="C38" s="6">
        <v>1063.7</v>
      </c>
      <c r="D38" s="6">
        <v>1293</v>
      </c>
      <c r="E38" s="6">
        <v>1470.5</v>
      </c>
      <c r="F38" s="6">
        <v>1575.5</v>
      </c>
      <c r="G38" s="6">
        <v>1659</v>
      </c>
      <c r="H38" s="6">
        <v>1903.6</v>
      </c>
      <c r="I38" s="6">
        <v>2183.1</v>
      </c>
      <c r="J38" s="6">
        <v>2398.9</v>
      </c>
      <c r="L38" s="5" t="s">
        <v>35</v>
      </c>
    </row>
    <row r="39" spans="1:12" ht="14" x14ac:dyDescent="0.2">
      <c r="A39" s="5" t="s">
        <v>89</v>
      </c>
      <c r="B39" s="5" t="s">
        <v>34</v>
      </c>
      <c r="C39" s="6">
        <v>0</v>
      </c>
      <c r="D39" s="6">
        <v>0</v>
      </c>
      <c r="E39" s="6">
        <v>0</v>
      </c>
      <c r="F39" s="6">
        <v>1981.5</v>
      </c>
      <c r="G39" s="6">
        <v>0</v>
      </c>
      <c r="H39" s="6">
        <v>0</v>
      </c>
      <c r="I39" s="6">
        <v>0</v>
      </c>
      <c r="J39" s="6">
        <v>1980.3</v>
      </c>
      <c r="L39" s="5" t="s">
        <v>35</v>
      </c>
    </row>
    <row r="40" spans="1:12" ht="14" x14ac:dyDescent="0.2">
      <c r="A40" s="5" t="s">
        <v>92</v>
      </c>
      <c r="B40" s="5" t="s">
        <v>34</v>
      </c>
      <c r="C40" s="6">
        <v>73</v>
      </c>
      <c r="D40" s="6">
        <v>21</v>
      </c>
      <c r="E40" s="6">
        <v>22</v>
      </c>
      <c r="F40" s="6">
        <v>1001.8</v>
      </c>
      <c r="G40" s="6">
        <v>9</v>
      </c>
      <c r="H40" s="6">
        <v>1</v>
      </c>
      <c r="I40" s="6">
        <v>0.9</v>
      </c>
      <c r="J40" s="6">
        <v>1001.2</v>
      </c>
      <c r="L40" s="5" t="s">
        <v>35</v>
      </c>
    </row>
    <row r="41" spans="1:12" ht="14" x14ac:dyDescent="0.2">
      <c r="A41" s="5"/>
      <c r="B41" s="5"/>
    </row>
    <row r="42" spans="1:12" ht="14" x14ac:dyDescent="0.2">
      <c r="A42" s="1" t="s">
        <v>95</v>
      </c>
      <c r="B42" s="5"/>
    </row>
    <row r="43" spans="1:12" ht="14" x14ac:dyDescent="0.2">
      <c r="A43" s="5" t="s">
        <v>97</v>
      </c>
      <c r="B43" s="5" t="s">
        <v>34</v>
      </c>
      <c r="C43" s="6">
        <f t="shared" ref="C43:J43" si="6">C33-C34</f>
        <v>2309.1</v>
      </c>
      <c r="D43" s="6">
        <f t="shared" si="6"/>
        <v>2526.3000000000002</v>
      </c>
      <c r="E43" s="6">
        <f t="shared" si="6"/>
        <v>2853.5</v>
      </c>
      <c r="F43" s="6">
        <f t="shared" si="6"/>
        <v>2914.7000000000003</v>
      </c>
      <c r="G43" s="6">
        <f t="shared" si="6"/>
        <v>2925.1</v>
      </c>
      <c r="H43" s="6">
        <f t="shared" si="6"/>
        <v>4001.3</v>
      </c>
      <c r="I43" s="6">
        <f t="shared" si="6"/>
        <v>3949.2000000000003</v>
      </c>
      <c r="J43" s="6">
        <f t="shared" si="6"/>
        <v>4771</v>
      </c>
    </row>
    <row r="44" spans="1:12" ht="14" x14ac:dyDescent="0.2">
      <c r="A44" s="5" t="s">
        <v>101</v>
      </c>
      <c r="B44" s="5" t="s">
        <v>34</v>
      </c>
      <c r="C44" s="6">
        <f t="shared" ref="C44:J44" si="7">C43-C35</f>
        <v>2044.3999999999999</v>
      </c>
      <c r="D44" s="6">
        <f t="shared" si="7"/>
        <v>2121.8000000000002</v>
      </c>
      <c r="E44" s="6">
        <f t="shared" si="7"/>
        <v>2409.8000000000002</v>
      </c>
      <c r="F44" s="6">
        <f t="shared" si="7"/>
        <v>2587.4</v>
      </c>
      <c r="G44" s="6">
        <f t="shared" si="7"/>
        <v>2546.1</v>
      </c>
      <c r="H44" s="6">
        <f t="shared" si="7"/>
        <v>3636</v>
      </c>
      <c r="I44" s="6">
        <f t="shared" si="7"/>
        <v>3594.2000000000003</v>
      </c>
      <c r="J44" s="6">
        <f t="shared" si="7"/>
        <v>4392.7</v>
      </c>
    </row>
    <row r="45" spans="1:12" ht="14" x14ac:dyDescent="0.2">
      <c r="A45" s="5" t="s">
        <v>105</v>
      </c>
      <c r="B45" s="5" t="s">
        <v>106</v>
      </c>
      <c r="C45" s="22">
        <f t="shared" ref="C45:J45" si="8">C44/C20</f>
        <v>4.6117753214527406</v>
      </c>
      <c r="D45" s="22">
        <f t="shared" si="8"/>
        <v>4.8487202925045709</v>
      </c>
      <c r="E45" s="22">
        <f t="shared" si="8"/>
        <v>5.5692165472613828</v>
      </c>
      <c r="F45" s="22">
        <f t="shared" si="8"/>
        <v>6.0439149731371176</v>
      </c>
      <c r="G45" s="22">
        <f t="shared" si="8"/>
        <v>6.0463072904298265</v>
      </c>
      <c r="H45" s="22">
        <f t="shared" si="8"/>
        <v>8.7466923261967775</v>
      </c>
      <c r="I45" s="22">
        <f t="shared" si="8"/>
        <v>8.7195536147501223</v>
      </c>
      <c r="J45" s="22">
        <f t="shared" si="8"/>
        <v>10.747981404453144</v>
      </c>
    </row>
    <row r="46" spans="1:12" ht="14" x14ac:dyDescent="0.2">
      <c r="A46" s="5" t="s">
        <v>130</v>
      </c>
      <c r="B46" s="5" t="s">
        <v>34</v>
      </c>
      <c r="C46" s="6">
        <f t="shared" ref="C46:J46" si="9">C28+C29+C26+C27</f>
        <v>2585.8000000000002</v>
      </c>
      <c r="D46" s="6">
        <f t="shared" si="9"/>
        <v>2653.4</v>
      </c>
      <c r="E46" s="6">
        <f t="shared" si="9"/>
        <v>2362.5999999999995</v>
      </c>
      <c r="F46" s="6">
        <f t="shared" si="9"/>
        <v>3351.7</v>
      </c>
      <c r="G46" s="6">
        <f t="shared" si="9"/>
        <v>3494.4</v>
      </c>
      <c r="H46" s="6">
        <f t="shared" si="9"/>
        <v>3444.3</v>
      </c>
      <c r="I46" s="6">
        <f t="shared" si="9"/>
        <v>3705.3</v>
      </c>
      <c r="J46" s="6">
        <f t="shared" si="9"/>
        <v>9103.7999999999993</v>
      </c>
    </row>
    <row r="47" spans="1:12" ht="14" x14ac:dyDescent="0.2">
      <c r="A47" s="5" t="s">
        <v>131</v>
      </c>
      <c r="B47" s="5" t="s">
        <v>34</v>
      </c>
      <c r="C47" s="6">
        <f t="shared" ref="C47:J47" si="10">C46+C30-C23-C24</f>
        <v>5148.3999999999996</v>
      </c>
      <c r="D47" s="6">
        <f t="shared" si="10"/>
        <v>6093.5999999999995</v>
      </c>
      <c r="E47" s="6">
        <f t="shared" si="10"/>
        <v>6206.2999999999993</v>
      </c>
      <c r="F47" s="6">
        <f t="shared" si="10"/>
        <v>6436.2</v>
      </c>
      <c r="G47" s="6">
        <f t="shared" si="10"/>
        <v>5268.7000000000007</v>
      </c>
      <c r="H47" s="6">
        <f t="shared" si="10"/>
        <v>4539.1000000000004</v>
      </c>
      <c r="I47" s="6">
        <f t="shared" si="10"/>
        <v>4955.5000000000018</v>
      </c>
      <c r="J47" s="6">
        <f t="shared" si="10"/>
        <v>7445.2</v>
      </c>
    </row>
    <row r="48" spans="1:12" ht="14" x14ac:dyDescent="0.2">
      <c r="A48" s="5" t="s">
        <v>132</v>
      </c>
      <c r="B48" s="5" t="s">
        <v>34</v>
      </c>
      <c r="C48" s="6">
        <f t="shared" ref="C48:J48" si="11">C47-C25</f>
        <v>2904.8999999999996</v>
      </c>
      <c r="D48" s="6">
        <f t="shared" si="11"/>
        <v>3770.5999999999995</v>
      </c>
      <c r="E48" s="6">
        <f t="shared" si="11"/>
        <v>3896.8999999999992</v>
      </c>
      <c r="F48" s="6">
        <f t="shared" si="11"/>
        <v>4097.7999999999993</v>
      </c>
      <c r="G48" s="6">
        <f t="shared" si="11"/>
        <v>2968.2000000000007</v>
      </c>
      <c r="H48" s="6">
        <f t="shared" si="11"/>
        <v>2199.7000000000003</v>
      </c>
      <c r="I48" s="6">
        <f t="shared" si="11"/>
        <v>2601.9000000000019</v>
      </c>
      <c r="J48" s="6">
        <f t="shared" si="11"/>
        <v>4171.7</v>
      </c>
    </row>
    <row r="49" spans="1:24" ht="14" x14ac:dyDescent="0.2">
      <c r="A49" s="5" t="s">
        <v>133</v>
      </c>
      <c r="B49" s="5" t="s">
        <v>34</v>
      </c>
      <c r="D49" s="6">
        <f t="shared" ref="D49:J49" si="12">AVERAGE(C47:D47)</f>
        <v>5621</v>
      </c>
      <c r="E49" s="6">
        <f t="shared" si="12"/>
        <v>6149.9499999999989</v>
      </c>
      <c r="F49" s="6">
        <f t="shared" si="12"/>
        <v>6321.25</v>
      </c>
      <c r="G49" s="6">
        <f t="shared" si="12"/>
        <v>5852.4500000000007</v>
      </c>
      <c r="H49" s="6">
        <f t="shared" si="12"/>
        <v>4903.9000000000005</v>
      </c>
      <c r="I49" s="6">
        <f t="shared" si="12"/>
        <v>4747.3000000000011</v>
      </c>
      <c r="J49" s="6">
        <f t="shared" si="12"/>
        <v>6200.35</v>
      </c>
    </row>
    <row r="50" spans="1:24" ht="14" x14ac:dyDescent="0.2">
      <c r="A50" s="5" t="s">
        <v>133</v>
      </c>
      <c r="B50" s="5" t="s">
        <v>34</v>
      </c>
      <c r="D50" s="6">
        <f t="shared" ref="D50:J50" si="13">AVERAGE(C48:D48)</f>
        <v>3337.7499999999995</v>
      </c>
      <c r="E50" s="6">
        <f t="shared" si="13"/>
        <v>3833.7499999999991</v>
      </c>
      <c r="F50" s="6">
        <f t="shared" si="13"/>
        <v>3997.3499999999995</v>
      </c>
      <c r="G50" s="6">
        <f t="shared" si="13"/>
        <v>3533</v>
      </c>
      <c r="H50" s="6">
        <f t="shared" si="13"/>
        <v>2583.9500000000007</v>
      </c>
      <c r="I50" s="6">
        <f t="shared" si="13"/>
        <v>2400.8000000000011</v>
      </c>
      <c r="J50" s="6">
        <f t="shared" si="13"/>
        <v>3386.8000000000011</v>
      </c>
    </row>
    <row r="51" spans="1:24" ht="14" x14ac:dyDescent="0.2">
      <c r="A51" s="24" t="s">
        <v>134</v>
      </c>
      <c r="B51" s="24" t="s">
        <v>34</v>
      </c>
      <c r="C51" s="25">
        <f t="shared" ref="C51:J51" si="14">C12*(1-C18)</f>
        <v>1982.8361868045217</v>
      </c>
      <c r="D51" s="25">
        <f t="shared" si="14"/>
        <v>2208.0481767367583</v>
      </c>
      <c r="E51" s="25">
        <f t="shared" si="14"/>
        <v>2351.8006975428884</v>
      </c>
      <c r="F51" s="25">
        <f t="shared" si="14"/>
        <v>2524.0517225990716</v>
      </c>
      <c r="G51" s="25">
        <f t="shared" si="14"/>
        <v>2884.7142740727104</v>
      </c>
      <c r="H51" s="25">
        <f t="shared" si="14"/>
        <v>3270.9097710474134</v>
      </c>
      <c r="I51" s="25">
        <f t="shared" si="14"/>
        <v>3531.221640703568</v>
      </c>
      <c r="J51" s="25">
        <f t="shared" si="14"/>
        <v>3807.6482928758419</v>
      </c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</row>
    <row r="52" spans="1:24" ht="14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</row>
    <row r="53" spans="1:24" ht="14" x14ac:dyDescent="0.2">
      <c r="A53" s="26" t="s">
        <v>135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</row>
    <row r="54" spans="1:24" ht="14" x14ac:dyDescent="0.2">
      <c r="A54" s="24" t="s">
        <v>136</v>
      </c>
      <c r="B54" s="24" t="s">
        <v>38</v>
      </c>
      <c r="C54" s="27">
        <f t="shared" ref="C54:J54" si="15">IFERROR(C9/C3,"")</f>
        <v>0.41157282548100832</v>
      </c>
      <c r="D54" s="27">
        <f t="shared" si="15"/>
        <v>0.43150345140394891</v>
      </c>
      <c r="E54" s="27">
        <f t="shared" si="15"/>
        <v>0.42116410094723705</v>
      </c>
      <c r="F54" s="27">
        <f t="shared" si="15"/>
        <v>0.42418729257467314</v>
      </c>
      <c r="G54" s="27">
        <f t="shared" si="15"/>
        <v>0.42649242649242647</v>
      </c>
      <c r="H54" s="27">
        <f t="shared" si="15"/>
        <v>0.44740786800057741</v>
      </c>
      <c r="I54" s="27">
        <f t="shared" si="15"/>
        <v>0.45441242331767567</v>
      </c>
      <c r="J54" s="27">
        <f t="shared" si="15"/>
        <v>0.46027168071436569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</row>
    <row r="55" spans="1:24" ht="14" x14ac:dyDescent="0.2">
      <c r="A55" s="24" t="s">
        <v>137</v>
      </c>
      <c r="B55" s="24" t="s">
        <v>38</v>
      </c>
      <c r="C55" s="27">
        <f t="shared" ref="C55:J55" si="16">IFERROR(C12/C3,"")</f>
        <v>0.18089225716050689</v>
      </c>
      <c r="D55" s="27">
        <f t="shared" si="16"/>
        <v>0.20513529219996882</v>
      </c>
      <c r="E55" s="27">
        <f t="shared" si="16"/>
        <v>0.2079946263828153</v>
      </c>
      <c r="F55" s="27">
        <f t="shared" si="16"/>
        <v>0.21758167059858449</v>
      </c>
      <c r="G55" s="27">
        <f t="shared" si="16"/>
        <v>0.22555657249534797</v>
      </c>
      <c r="H55" s="27">
        <f t="shared" si="16"/>
        <v>0.23617881213843953</v>
      </c>
      <c r="I55" s="27">
        <f t="shared" si="16"/>
        <v>0.23880099569849911</v>
      </c>
      <c r="J55" s="27">
        <f t="shared" si="16"/>
        <v>0.24104003229430626</v>
      </c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</row>
    <row r="56" spans="1:24" ht="14" x14ac:dyDescent="0.2">
      <c r="A56" s="24" t="s">
        <v>138</v>
      </c>
      <c r="B56" s="24" t="s">
        <v>38</v>
      </c>
      <c r="C56" s="27">
        <f t="shared" ref="C56:J56" si="17">IFERROR(C7/C3,"")</f>
        <v>3.5143360805170928E-2</v>
      </c>
      <c r="D56" s="27">
        <f t="shared" si="17"/>
        <v>3.9822256240166685E-2</v>
      </c>
      <c r="E56" s="27">
        <f t="shared" si="17"/>
        <v>3.7368572564394305E-2</v>
      </c>
      <c r="F56" s="27">
        <f t="shared" si="17"/>
        <v>2.814986604822264E-2</v>
      </c>
      <c r="G56" s="27">
        <f t="shared" si="17"/>
        <v>2.7384639629537591E-2</v>
      </c>
      <c r="H56" s="27">
        <f t="shared" si="17"/>
        <v>4.5158281609131587E-2</v>
      </c>
      <c r="I56" s="27">
        <f t="shared" si="17"/>
        <v>5.3362565485923788E-2</v>
      </c>
      <c r="J56" s="27">
        <f t="shared" si="17"/>
        <v>5.7833071509515624E-2</v>
      </c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</row>
    <row r="57" spans="1:24" ht="14" x14ac:dyDescent="0.2">
      <c r="A57" s="24" t="s">
        <v>140</v>
      </c>
      <c r="B57" s="24" t="s">
        <v>38</v>
      </c>
      <c r="C57" s="27">
        <f t="shared" ref="C57:J57" si="18">IFERROR(C7/C12,"")</f>
        <v>0.19427786106946521</v>
      </c>
      <c r="D57" s="27">
        <f t="shared" si="18"/>
        <v>0.19412679219208845</v>
      </c>
      <c r="E57" s="27">
        <f t="shared" si="18"/>
        <v>0.17966124036116796</v>
      </c>
      <c r="F57" s="27">
        <f t="shared" si="18"/>
        <v>0.12937609115133694</v>
      </c>
      <c r="G57" s="27">
        <f t="shared" si="18"/>
        <v>0.1214091849622444</v>
      </c>
      <c r="H57" s="27">
        <f t="shared" si="18"/>
        <v>0.19120377988293644</v>
      </c>
      <c r="I57" s="27">
        <f t="shared" si="18"/>
        <v>0.22346039776692261</v>
      </c>
      <c r="J57" s="27">
        <f t="shared" si="18"/>
        <v>0.23993139628732837</v>
      </c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</row>
    <row r="58" spans="1:24" ht="14" x14ac:dyDescent="0.2">
      <c r="A58" s="24" t="s">
        <v>142</v>
      </c>
      <c r="B58" s="24" t="s">
        <v>38</v>
      </c>
      <c r="C58" s="27">
        <f t="shared" ref="C58:J58" si="19">(C44-C7+C10)/(C3-C7)</f>
        <v>0.13121793920844491</v>
      </c>
      <c r="D58" s="27">
        <f t="shared" si="19"/>
        <v>0.12472413513134489</v>
      </c>
      <c r="E58" s="27">
        <f t="shared" si="19"/>
        <v>0.14038847670990987</v>
      </c>
      <c r="F58" s="27">
        <f t="shared" si="19"/>
        <v>0.15255434409929369</v>
      </c>
      <c r="G58" s="27">
        <f t="shared" si="19"/>
        <v>0.13561835914373849</v>
      </c>
      <c r="H58" s="27">
        <f t="shared" si="19"/>
        <v>0.17884387282833689</v>
      </c>
      <c r="I58" s="27">
        <f t="shared" si="19"/>
        <v>0.16123424598000871</v>
      </c>
      <c r="J58" s="27">
        <f t="shared" si="19"/>
        <v>0.18890861974622902</v>
      </c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</row>
    <row r="59" spans="1:24" ht="14" x14ac:dyDescent="0.2">
      <c r="A59" s="24" t="s">
        <v>148</v>
      </c>
      <c r="B59" s="24" t="s">
        <v>38</v>
      </c>
      <c r="C59" s="27">
        <f t="shared" ref="C59:J59" si="20">(C7-C10)/C7</f>
        <v>0.77984994640943195</v>
      </c>
      <c r="D59" s="27">
        <f t="shared" si="20"/>
        <v>0.76882007474639613</v>
      </c>
      <c r="E59" s="27">
        <f t="shared" si="20"/>
        <v>0.80355832721936904</v>
      </c>
      <c r="F59" s="27">
        <f t="shared" si="20"/>
        <v>0.85866477272727271</v>
      </c>
      <c r="G59" s="27">
        <f t="shared" si="20"/>
        <v>0.81872509960159356</v>
      </c>
      <c r="H59" s="27">
        <f t="shared" si="20"/>
        <v>0.68859109909023841</v>
      </c>
      <c r="I59" s="27">
        <f t="shared" si="20"/>
        <v>0.64731140821703914</v>
      </c>
      <c r="J59" s="27">
        <f t="shared" si="20"/>
        <v>0.61660079051383399</v>
      </c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</row>
    <row r="60" spans="1:24" ht="14" x14ac:dyDescent="0.2">
      <c r="A60" s="24" t="s">
        <v>153</v>
      </c>
      <c r="B60" s="24" t="s">
        <v>38</v>
      </c>
      <c r="C60" s="27">
        <f t="shared" ref="C60:J60" si="21">C44/C3</f>
        <v>0.15401304786729142</v>
      </c>
      <c r="D60" s="27">
        <f t="shared" si="21"/>
        <v>0.15037348868194639</v>
      </c>
      <c r="E60" s="27">
        <f t="shared" si="21"/>
        <v>0.16517018739119113</v>
      </c>
      <c r="F60" s="27">
        <f t="shared" si="21"/>
        <v>0.17243125808042439</v>
      </c>
      <c r="G60" s="27">
        <f t="shared" si="21"/>
        <v>0.15432499105968495</v>
      </c>
      <c r="H60" s="27">
        <f t="shared" si="21"/>
        <v>0.20186318162134553</v>
      </c>
      <c r="I60" s="27">
        <f t="shared" si="21"/>
        <v>0.18717257038109425</v>
      </c>
      <c r="J60" s="27">
        <f t="shared" si="21"/>
        <v>0.21364337164229191</v>
      </c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</row>
    <row r="61" spans="1:24" ht="14" x14ac:dyDescent="0.2">
      <c r="A61" s="24" t="s">
        <v>155</v>
      </c>
      <c r="B61" s="24" t="s">
        <v>38</v>
      </c>
      <c r="C61" s="24"/>
      <c r="D61" s="27">
        <f t="shared" ref="D61:J61" si="22">IFERROR(D51/D49,"")</f>
        <v>0.39282123763329624</v>
      </c>
      <c r="E61" s="27">
        <f t="shared" si="22"/>
        <v>0.38240972650881533</v>
      </c>
      <c r="F61" s="27">
        <f t="shared" si="22"/>
        <v>0.39929629782069553</v>
      </c>
      <c r="G61" s="27">
        <f t="shared" si="22"/>
        <v>0.49290711993655822</v>
      </c>
      <c r="H61" s="27">
        <f t="shared" si="22"/>
        <v>0.66700172741030872</v>
      </c>
      <c r="I61" s="27">
        <f t="shared" si="22"/>
        <v>0.74383789537285772</v>
      </c>
      <c r="J61" s="27">
        <f t="shared" si="22"/>
        <v>0.61410215437448556</v>
      </c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</row>
    <row r="62" spans="1:24" ht="14" x14ac:dyDescent="0.2">
      <c r="A62" s="24" t="s">
        <v>158</v>
      </c>
      <c r="B62" s="24" t="s">
        <v>38</v>
      </c>
      <c r="C62" s="24"/>
      <c r="D62" s="27">
        <f t="shared" ref="D62:J62" si="23">IFERROR(D51/D50,"")</f>
        <v>0.66153791528327721</v>
      </c>
      <c r="E62" s="27">
        <f t="shared" si="23"/>
        <v>0.61344654647352825</v>
      </c>
      <c r="F62" s="27">
        <f t="shared" si="23"/>
        <v>0.63143125385544718</v>
      </c>
      <c r="G62" s="27">
        <f t="shared" si="23"/>
        <v>0.81650559696368818</v>
      </c>
      <c r="H62" s="27">
        <f t="shared" si="23"/>
        <v>1.2658564488660433</v>
      </c>
      <c r="I62" s="27">
        <f t="shared" si="23"/>
        <v>1.4708520662710622</v>
      </c>
      <c r="J62" s="27">
        <f t="shared" si="23"/>
        <v>1.1242613360327862</v>
      </c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</row>
    <row r="63" spans="1:24" ht="14" x14ac:dyDescent="0.2">
      <c r="A63" s="24" t="s">
        <v>160</v>
      </c>
      <c r="B63" s="24" t="s">
        <v>38</v>
      </c>
      <c r="C63" s="24"/>
      <c r="D63" s="24"/>
      <c r="E63" s="24"/>
      <c r="F63" s="27">
        <f t="shared" ref="F63:J63" si="24">IFERROR((F51-C51)/(F47-C47),"")</f>
        <v>0.4202636556876454</v>
      </c>
      <c r="G63" s="27">
        <f t="shared" si="24"/>
        <v>-0.82030076049939771</v>
      </c>
      <c r="H63" s="27">
        <f t="shared" si="24"/>
        <v>-0.55128903161259935</v>
      </c>
      <c r="I63" s="27">
        <f t="shared" si="24"/>
        <v>-0.6801984994289848</v>
      </c>
      <c r="J63" s="27">
        <f t="shared" si="24"/>
        <v>0.42404503505772195</v>
      </c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</row>
    <row r="64" spans="1:24" ht="14" x14ac:dyDescent="0.2">
      <c r="A64" s="24" t="s">
        <v>162</v>
      </c>
      <c r="B64" s="24" t="s">
        <v>38</v>
      </c>
      <c r="C64" s="24"/>
      <c r="D64" s="24"/>
      <c r="E64" s="24"/>
      <c r="F64" s="24"/>
      <c r="G64" s="24"/>
      <c r="H64" s="27">
        <f t="shared" ref="H64:J64" si="25">IFERROR((H51-C51)/(H47-C47),"")</f>
        <v>-2.1140219665893536</v>
      </c>
      <c r="I64" s="27">
        <f t="shared" si="25"/>
        <v>-1.1626161707818403</v>
      </c>
      <c r="J64" s="27">
        <f t="shared" si="25"/>
        <v>1.1751130804204963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</row>
    <row r="65" spans="1:24" ht="14" x14ac:dyDescent="0.2">
      <c r="A65" s="24" t="s">
        <v>44</v>
      </c>
      <c r="B65" s="24" t="s">
        <v>34</v>
      </c>
      <c r="C65" s="30">
        <f t="shared" ref="C65:J65" si="26">SUM(C26:C29)-SUM(C23:C24)</f>
        <v>412.5</v>
      </c>
      <c r="D65" s="30">
        <f t="shared" si="26"/>
        <v>693.7</v>
      </c>
      <c r="E65" s="30">
        <f t="shared" si="26"/>
        <v>454.09999999999991</v>
      </c>
      <c r="F65" s="30">
        <f t="shared" si="26"/>
        <v>766.09999999999991</v>
      </c>
      <c r="G65" s="30">
        <f t="shared" si="26"/>
        <v>2043.4</v>
      </c>
      <c r="H65" s="30">
        <f t="shared" si="26"/>
        <v>1313.8000000000002</v>
      </c>
      <c r="I65" s="30">
        <f t="shared" si="26"/>
        <v>407.90000000000009</v>
      </c>
      <c r="J65" s="30">
        <f t="shared" si="26"/>
        <v>1257.1999999999989</v>
      </c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</row>
    <row r="66" spans="1:24" ht="14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</row>
    <row r="67" spans="1:24" ht="14" x14ac:dyDescent="0.2">
      <c r="A67" s="26" t="s">
        <v>172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</row>
    <row r="68" spans="1:24" ht="14" x14ac:dyDescent="0.2">
      <c r="A68" s="24" t="s">
        <v>174</v>
      </c>
      <c r="B68" s="24" t="s">
        <v>34</v>
      </c>
      <c r="C68" s="30">
        <v>24332.6</v>
      </c>
      <c r="D68" s="30">
        <v>25458.5</v>
      </c>
      <c r="E68" s="30">
        <v>25990.3</v>
      </c>
      <c r="F68" s="30">
        <v>27353.1</v>
      </c>
      <c r="G68" s="30">
        <v>32480.3</v>
      </c>
      <c r="H68" s="30">
        <v>34142.800000000003</v>
      </c>
      <c r="I68" s="30">
        <v>35369.5</v>
      </c>
      <c r="J68" s="30">
        <v>37631.199999999997</v>
      </c>
      <c r="K68" s="27"/>
      <c r="L68" s="24" t="s">
        <v>175</v>
      </c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</row>
    <row r="69" spans="1:24" ht="14" x14ac:dyDescent="0.2">
      <c r="A69" s="24" t="s">
        <v>176</v>
      </c>
      <c r="B69" s="24" t="s">
        <v>38</v>
      </c>
      <c r="C69" s="27">
        <v>1.9E-2</v>
      </c>
      <c r="D69" s="27">
        <v>2.1999999999999999E-2</v>
      </c>
      <c r="E69" s="27">
        <v>2.1000000000000001E-2</v>
      </c>
      <c r="F69" s="27">
        <v>1.4999999999999999E-2</v>
      </c>
      <c r="G69" s="27">
        <v>1.4E-2</v>
      </c>
      <c r="H69" s="27">
        <v>2.4E-2</v>
      </c>
      <c r="I69" s="27">
        <v>0.03</v>
      </c>
      <c r="J69" s="27">
        <v>3.2000000000000001E-2</v>
      </c>
      <c r="K69" s="24"/>
      <c r="L69" s="24" t="s">
        <v>175</v>
      </c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</row>
    <row r="70" spans="1:24" ht="14" x14ac:dyDescent="0.2">
      <c r="A70" s="24" t="s">
        <v>178</v>
      </c>
      <c r="B70" s="24" t="s">
        <v>38</v>
      </c>
      <c r="C70" s="27">
        <v>2.7E-2</v>
      </c>
      <c r="D70" s="27">
        <v>2.7E-2</v>
      </c>
      <c r="E70" s="27">
        <v>-0.01</v>
      </c>
      <c r="F70" s="27">
        <v>-0.03</v>
      </c>
      <c r="G70" s="27">
        <v>7.0000000000000007E-2</v>
      </c>
      <c r="H70" s="27">
        <v>4.7E-2</v>
      </c>
      <c r="I70" s="27">
        <v>0.02</v>
      </c>
      <c r="J70" s="27">
        <v>0.01</v>
      </c>
      <c r="K70" s="24"/>
      <c r="L70" s="24" t="s">
        <v>179</v>
      </c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</row>
    <row r="71" spans="1:24" ht="14" x14ac:dyDescent="0.2">
      <c r="A71" s="24" t="s">
        <v>67</v>
      </c>
      <c r="B71" s="24" t="s">
        <v>38</v>
      </c>
      <c r="C71" s="27">
        <v>0.90400000000000003</v>
      </c>
      <c r="D71" s="27">
        <v>0.90800000000000003</v>
      </c>
      <c r="E71" s="27">
        <v>0.90500000000000003</v>
      </c>
      <c r="F71" s="27">
        <v>0.92200000000000004</v>
      </c>
      <c r="G71" s="27">
        <v>0.92100000000000004</v>
      </c>
      <c r="H71" s="27">
        <v>0.92200000000000004</v>
      </c>
      <c r="I71" s="27">
        <v>0.92</v>
      </c>
      <c r="J71" s="27">
        <v>0.92100000000000004</v>
      </c>
      <c r="K71" s="24"/>
      <c r="L71" s="24" t="s">
        <v>179</v>
      </c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</row>
    <row r="72" spans="1:24" ht="14" x14ac:dyDescent="0.2">
      <c r="A72" s="24" t="s">
        <v>181</v>
      </c>
      <c r="B72" s="24" t="s">
        <v>22</v>
      </c>
      <c r="C72" s="31">
        <v>504000</v>
      </c>
      <c r="D72" s="31">
        <v>547000</v>
      </c>
      <c r="E72" s="31">
        <v>571000</v>
      </c>
      <c r="F72" s="31">
        <v>616000</v>
      </c>
      <c r="G72" s="31">
        <v>704000</v>
      </c>
      <c r="H72" s="31">
        <v>722000</v>
      </c>
      <c r="I72" s="31">
        <v>742000</v>
      </c>
      <c r="J72" s="31">
        <v>761000</v>
      </c>
      <c r="K72" s="24"/>
      <c r="L72" s="24" t="s">
        <v>179</v>
      </c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</row>
    <row r="73" spans="1:24" ht="14" x14ac:dyDescent="0.2">
      <c r="A73" s="24" t="s">
        <v>74</v>
      </c>
      <c r="B73" s="24" t="s">
        <v>38</v>
      </c>
      <c r="C73" s="27">
        <v>0.08</v>
      </c>
      <c r="D73" s="27">
        <v>0.08</v>
      </c>
      <c r="E73" s="27">
        <v>-0.21</v>
      </c>
      <c r="F73" s="27">
        <v>0.23</v>
      </c>
      <c r="G73" s="27">
        <v>0.15</v>
      </c>
      <c r="H73" s="27">
        <v>0.1</v>
      </c>
      <c r="I73" s="27">
        <v>7.0000000000000007E-2</v>
      </c>
      <c r="J73" s="27">
        <v>0.03</v>
      </c>
      <c r="K73" s="24"/>
      <c r="L73" s="24" t="s">
        <v>179</v>
      </c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</row>
    <row r="74" spans="1:24" ht="14" x14ac:dyDescent="0.2">
      <c r="A74" s="24" t="s">
        <v>182</v>
      </c>
      <c r="B74" s="24" t="s">
        <v>183</v>
      </c>
      <c r="C74" s="32">
        <f t="shared" ref="C74:J74" si="27">IFERROR(C6*1000000/C72,"")</f>
        <v>2815.8730158730164</v>
      </c>
      <c r="D74" s="32">
        <f t="shared" si="27"/>
        <v>2797.4405850091402</v>
      </c>
      <c r="E74" s="32">
        <f t="shared" si="27"/>
        <v>2808.7565674255698</v>
      </c>
      <c r="F74" s="32">
        <f t="shared" si="27"/>
        <v>2802.4350649350654</v>
      </c>
      <c r="G74" s="32">
        <f t="shared" si="27"/>
        <v>2885.369318181818</v>
      </c>
      <c r="H74" s="32">
        <f t="shared" si="27"/>
        <v>3013.7119113573408</v>
      </c>
      <c r="I74" s="32">
        <f t="shared" si="27"/>
        <v>3030.1886792452829</v>
      </c>
      <c r="J74" s="32">
        <f t="shared" si="27"/>
        <v>3141.3929040735879</v>
      </c>
      <c r="K74" s="27"/>
      <c r="L74" s="24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</row>
    <row r="75" spans="1:24" ht="14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</row>
    <row r="76" spans="1:24" ht="16.5" customHeight="1" x14ac:dyDescent="0.2">
      <c r="A76" s="26" t="s">
        <v>184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</row>
    <row r="77" spans="1:24" ht="14" x14ac:dyDescent="0.2">
      <c r="A77" s="24" t="s">
        <v>185</v>
      </c>
      <c r="B77" s="27">
        <f>((J3-J5)/(C3-C5))^(1/8)-1</f>
        <v>5.2436854138794953E-2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</row>
    <row r="78" spans="1:24" ht="14" x14ac:dyDescent="0.2">
      <c r="A78" s="24" t="s">
        <v>49</v>
      </c>
      <c r="B78" s="27">
        <f>(J19/C19)^(1/8)-1</f>
        <v>0.10133005016458307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</row>
    <row r="79" spans="1:24" ht="14" x14ac:dyDescent="0.2">
      <c r="A79" s="24" t="s">
        <v>187</v>
      </c>
      <c r="B79" s="27">
        <f>(J44/C44)^(1/8)-1</f>
        <v>0.10032431210373738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</row>
    <row r="80" spans="1:24" ht="14" x14ac:dyDescent="0.2">
      <c r="A80" s="5" t="s">
        <v>189</v>
      </c>
      <c r="B80" s="11">
        <f>(J68/C68)^(1/8)-1</f>
        <v>5.6014651604580745E-2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</row>
    <row r="81" spans="1:24" ht="14" x14ac:dyDescent="0.2">
      <c r="A81" s="24" t="s">
        <v>192</v>
      </c>
      <c r="B81" s="27">
        <f>(J20/C20)^(1/8)-1</f>
        <v>-1.0106748958018663E-2</v>
      </c>
      <c r="C81" s="24"/>
      <c r="D81" s="24"/>
      <c r="E81" s="24"/>
      <c r="F81" s="24"/>
      <c r="G81" s="24"/>
      <c r="H81" s="24"/>
      <c r="I81" s="24"/>
      <c r="J81" s="24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</row>
    <row r="82" spans="1:24" ht="14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</row>
    <row r="83" spans="1:24" ht="14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</row>
    <row r="84" spans="1:24" ht="14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</row>
    <row r="85" spans="1:24" ht="14" x14ac:dyDescent="0.2">
      <c r="A85" s="26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</row>
    <row r="86" spans="1:24" ht="14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</row>
    <row r="87" spans="1:24" ht="14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</row>
    <row r="88" spans="1:24" ht="14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</row>
    <row r="89" spans="1:24" ht="14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</row>
    <row r="90" spans="1:24" ht="14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</row>
    <row r="91" spans="1:24" ht="14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</row>
    <row r="92" spans="1:24" ht="14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</row>
    <row r="93" spans="1:24" ht="14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</row>
    <row r="94" spans="1:24" ht="14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</row>
    <row r="95" spans="1:24" ht="14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</row>
    <row r="96" spans="1:24" ht="14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</row>
    <row r="97" spans="1:24" ht="14" x14ac:dyDescent="0.2">
      <c r="A97" s="26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</row>
    <row r="98" spans="1:24" ht="14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</row>
    <row r="99" spans="1:24" ht="14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</row>
    <row r="100" spans="1:24" ht="14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</row>
    <row r="101" spans="1:24" ht="14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</row>
    <row r="102" spans="1:24" ht="14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</row>
    <row r="103" spans="1:24" ht="14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</row>
    <row r="104" spans="1:24" ht="14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</row>
    <row r="105" spans="1:24" ht="14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</row>
    <row r="106" spans="1:24" ht="14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</row>
    <row r="107" spans="1:24" ht="14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993"/>
  <sheetViews>
    <sheetView workbookViewId="0">
      <pane xSplit="1" topLeftCell="B1" activePane="topRight" state="frozen"/>
      <selection pane="topRight" activeCell="C2" sqref="C2"/>
    </sheetView>
  </sheetViews>
  <sheetFormatPr baseColWidth="10" defaultColWidth="14.3984375" defaultRowHeight="15.75" customHeight="1" x14ac:dyDescent="0.2"/>
  <sheetData>
    <row r="1" spans="1:27" x14ac:dyDescent="0.2">
      <c r="A1" s="19" t="s">
        <v>102</v>
      </c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x14ac:dyDescent="0.2">
      <c r="A2" s="18" t="s">
        <v>103</v>
      </c>
      <c r="B2" s="21" t="s">
        <v>104</v>
      </c>
      <c r="C2" s="21" t="s">
        <v>107</v>
      </c>
      <c r="D2" s="21" t="s">
        <v>108</v>
      </c>
      <c r="E2" s="21" t="s">
        <v>109</v>
      </c>
      <c r="F2" s="18" t="s">
        <v>110</v>
      </c>
      <c r="G2" s="21" t="s">
        <v>111</v>
      </c>
      <c r="H2" s="21" t="s">
        <v>112</v>
      </c>
      <c r="I2" s="18" t="s">
        <v>113</v>
      </c>
      <c r="J2" s="21" t="s">
        <v>114</v>
      </c>
      <c r="K2" s="21" t="s">
        <v>115</v>
      </c>
      <c r="L2" s="18" t="s">
        <v>116</v>
      </c>
      <c r="M2" s="21" t="s">
        <v>117</v>
      </c>
      <c r="N2" s="18" t="s">
        <v>118</v>
      </c>
      <c r="O2" s="18" t="s">
        <v>119</v>
      </c>
      <c r="P2" s="18" t="s">
        <v>120</v>
      </c>
      <c r="Q2" s="18" t="s">
        <v>121</v>
      </c>
      <c r="R2" s="12" t="s">
        <v>122</v>
      </c>
      <c r="S2" s="18" t="s">
        <v>123</v>
      </c>
      <c r="T2" s="18" t="s">
        <v>124</v>
      </c>
      <c r="U2" s="18" t="s">
        <v>125</v>
      </c>
      <c r="V2" s="18" t="s">
        <v>126</v>
      </c>
      <c r="W2" s="18" t="s">
        <v>127</v>
      </c>
      <c r="X2" s="18" t="s">
        <v>128</v>
      </c>
      <c r="Y2" s="20"/>
      <c r="Z2" s="20"/>
      <c r="AA2" s="20"/>
    </row>
    <row r="3" spans="1:27" x14ac:dyDescent="0.2">
      <c r="A3" s="18" t="s">
        <v>129</v>
      </c>
      <c r="B3" s="23">
        <v>7</v>
      </c>
      <c r="C3" s="23">
        <v>9</v>
      </c>
      <c r="D3" s="23">
        <v>8</v>
      </c>
      <c r="E3" s="23">
        <v>9</v>
      </c>
      <c r="F3" s="18" t="str">
        <f t="shared" ref="F3:F5" si="0">IF(AND(E3&gt;C3,D3&gt;B3),"Raised",IF(AND(E3=C3,D3&gt;B3),"Floor up",IF(AND(E3&lt;C3,D3&gt;B3),"Narrowed",IF(AND(E3=C3,D3=B3),"Unchanged",IF(AND(E3&lt;C3,D3=B3),"Trimmed top",IF(AND(E3&lt;C3,D3&lt;B3),"Cut","Mixed"))))))</f>
        <v>Floor up</v>
      </c>
      <c r="G3" s="23">
        <v>8</v>
      </c>
      <c r="H3" s="23">
        <v>9</v>
      </c>
      <c r="I3" s="18" t="str">
        <f t="shared" ref="I3:I5" si="1">IF(AND(H3&gt;E3,G3&gt;D3),"Raised",IF(AND(H3=E3,G3&gt;D3),"Floor up",IF(AND(H3&lt;E3,G3&gt;D3),"Narrowed",IF(AND(H3=E3,G3=D3),"Unchanged",IF(AND(H3&lt;E3,G3=D3),"Trimmed top",IF(AND(H3&lt;E3,G3&lt;D3),"Cut","Mixed"))))))</f>
        <v>Unchanged</v>
      </c>
      <c r="J3" s="23">
        <v>8</v>
      </c>
      <c r="K3" s="23">
        <v>9</v>
      </c>
      <c r="L3" s="18" t="str">
        <f t="shared" ref="L3:L5" si="2">IF(AND(K3&gt;H3,J3&gt;G3),"Raised",IF(AND(K3=H3,J3&gt;G3),"Floor up",IF(AND(K3&lt;H3,J3&gt;G3),"Narrowed",IF(AND(K3=H3,J3=G3),"Unchanged",IF(AND(K3&lt;H3,J3=G3),"Trimmed top",IF(AND(K3&lt;H3,J3&lt;G3),"Cut","Mixed"))))))</f>
        <v>Unchanged</v>
      </c>
      <c r="M3" s="23">
        <v>9</v>
      </c>
      <c r="N3" s="18" t="str">
        <f t="shared" ref="N3:N5" si="3">IF(M3&gt;C3,"Beat",IF(M3&lt;B3,"Missed",IF(AND(B3&lt;=M3,M3&lt;=C3),"In range")))</f>
        <v>In range</v>
      </c>
      <c r="O3" s="23">
        <f t="shared" ref="O3:O5" si="4">SUM(IF(F3="Raised",1,0)+IF(I3="Raised",1,0)+IF(L3="Raised",1,0))</f>
        <v>0</v>
      </c>
      <c r="P3" s="23">
        <f t="shared" ref="P3:P5" si="5">SUM(IF(F3="Floor up",1,0)+IF(I3="Floor up",1,0)+IF(L3="Floor up",1,0))</f>
        <v>1</v>
      </c>
      <c r="Q3" s="23">
        <f t="shared" ref="Q3:Q5" si="6">SUM(IF(F3="Narrowed",1,0)+IF(I3="Narrowed",1,0)+IF(L3="Narrowed",1,0))</f>
        <v>0</v>
      </c>
      <c r="R3" s="23">
        <f t="shared" ref="R3:R5" si="7">SUM(IF(F3="Unchanged",1,0)+IF(I3="Unchanged",1,0)+IF(L3="Unchanged",1,0))</f>
        <v>2</v>
      </c>
      <c r="S3" s="23">
        <f t="shared" ref="S3:S5" si="8">SUM(IF(F3="Trimmed top",1,0)+IF(I3="Trimmed top",1,0)+IF(L3="Trimmed top",1,0))</f>
        <v>0</v>
      </c>
      <c r="T3" s="23">
        <f t="shared" ref="T3:T5" si="9">SUM(IF(F3="Cut",1,0)+IF(I3="Cut",1,0)+IF(L3="Cut",1,0))</f>
        <v>0</v>
      </c>
      <c r="U3" s="23">
        <f t="shared" ref="U3:U5" si="10">SUM(IF(F3="Mixed",1,0)+IF(I3="Mixed",1,0)+IF(L3="Mixed",1,0))</f>
        <v>0</v>
      </c>
      <c r="V3" s="23">
        <f t="shared" ref="V3:V5" si="11">IF(N3="Beat",1,0)</f>
        <v>0</v>
      </c>
      <c r="W3" s="23">
        <f t="shared" ref="W3:W5" si="12">IF(N3="Missed",1,0)</f>
        <v>0</v>
      </c>
      <c r="X3" s="23">
        <f t="shared" ref="X3:X5" si="13">IF(N3="In range",1,0)</f>
        <v>1</v>
      </c>
      <c r="Y3" s="20"/>
      <c r="Z3" s="20"/>
      <c r="AA3" s="20"/>
    </row>
    <row r="4" spans="1:27" x14ac:dyDescent="0.2">
      <c r="A4" s="18" t="s">
        <v>139</v>
      </c>
      <c r="B4" s="23">
        <v>100</v>
      </c>
      <c r="C4" s="23">
        <v>125</v>
      </c>
      <c r="D4" s="23">
        <v>125</v>
      </c>
      <c r="E4" s="23">
        <v>150</v>
      </c>
      <c r="F4" s="18" t="str">
        <f t="shared" si="0"/>
        <v>Raised</v>
      </c>
      <c r="G4" s="23">
        <v>125</v>
      </c>
      <c r="H4" s="23">
        <v>150</v>
      </c>
      <c r="I4" s="18" t="str">
        <f t="shared" si="1"/>
        <v>Unchanged</v>
      </c>
      <c r="J4" s="23">
        <v>125</v>
      </c>
      <c r="K4" s="23">
        <v>150</v>
      </c>
      <c r="L4" s="18" t="str">
        <f t="shared" si="2"/>
        <v>Unchanged</v>
      </c>
      <c r="M4" s="23">
        <v>130</v>
      </c>
      <c r="N4" s="18" t="str">
        <f t="shared" si="3"/>
        <v>Beat</v>
      </c>
      <c r="O4" s="23">
        <f t="shared" si="4"/>
        <v>1</v>
      </c>
      <c r="P4" s="23">
        <f t="shared" si="5"/>
        <v>0</v>
      </c>
      <c r="Q4" s="23">
        <f t="shared" si="6"/>
        <v>0</v>
      </c>
      <c r="R4" s="23">
        <f t="shared" si="7"/>
        <v>2</v>
      </c>
      <c r="S4" s="23">
        <f t="shared" si="8"/>
        <v>0</v>
      </c>
      <c r="T4" s="23">
        <f t="shared" si="9"/>
        <v>0</v>
      </c>
      <c r="U4" s="23">
        <f t="shared" si="10"/>
        <v>0</v>
      </c>
      <c r="V4" s="23">
        <f t="shared" si="11"/>
        <v>1</v>
      </c>
      <c r="W4" s="23">
        <f t="shared" si="12"/>
        <v>0</v>
      </c>
      <c r="X4" s="23">
        <f t="shared" si="13"/>
        <v>0</v>
      </c>
      <c r="Y4" s="20"/>
      <c r="Z4" s="20"/>
      <c r="AA4" s="20"/>
    </row>
    <row r="5" spans="1:27" x14ac:dyDescent="0.2">
      <c r="A5" s="18" t="s">
        <v>141</v>
      </c>
      <c r="B5" s="23">
        <v>13</v>
      </c>
      <c r="C5" s="23">
        <v>16</v>
      </c>
      <c r="D5" s="23">
        <v>15</v>
      </c>
      <c r="E5" s="23">
        <v>17</v>
      </c>
      <c r="F5" s="18" t="str">
        <f t="shared" si="0"/>
        <v>Raised</v>
      </c>
      <c r="G5" s="23">
        <v>15</v>
      </c>
      <c r="H5" s="23">
        <v>17</v>
      </c>
      <c r="I5" s="18" t="str">
        <f t="shared" si="1"/>
        <v>Unchanged</v>
      </c>
      <c r="J5" s="23">
        <v>16</v>
      </c>
      <c r="K5" s="23">
        <v>17</v>
      </c>
      <c r="L5" s="18" t="str">
        <f t="shared" si="2"/>
        <v>Floor up</v>
      </c>
      <c r="M5" s="23">
        <v>17</v>
      </c>
      <c r="N5" s="18" t="str">
        <f t="shared" si="3"/>
        <v>Beat</v>
      </c>
      <c r="O5" s="23">
        <f t="shared" si="4"/>
        <v>1</v>
      </c>
      <c r="P5" s="23">
        <f t="shared" si="5"/>
        <v>1</v>
      </c>
      <c r="Q5" s="23">
        <f t="shared" si="6"/>
        <v>0</v>
      </c>
      <c r="R5" s="23">
        <f t="shared" si="7"/>
        <v>1</v>
      </c>
      <c r="S5" s="23">
        <f t="shared" si="8"/>
        <v>0</v>
      </c>
      <c r="T5" s="23">
        <f t="shared" si="9"/>
        <v>0</v>
      </c>
      <c r="U5" s="23">
        <f t="shared" si="10"/>
        <v>0</v>
      </c>
      <c r="V5" s="23">
        <f t="shared" si="11"/>
        <v>1</v>
      </c>
      <c r="W5" s="23">
        <f t="shared" si="12"/>
        <v>0</v>
      </c>
      <c r="X5" s="23">
        <f t="shared" si="13"/>
        <v>0</v>
      </c>
      <c r="Y5" s="20"/>
      <c r="Z5" s="20"/>
      <c r="AA5" s="20"/>
    </row>
    <row r="6" spans="1:27" x14ac:dyDescent="0.2">
      <c r="A6" s="20" t="s">
        <v>143</v>
      </c>
      <c r="B6" s="5" t="s">
        <v>144</v>
      </c>
      <c r="D6" s="20" t="s">
        <v>144</v>
      </c>
      <c r="E6" s="20"/>
      <c r="F6" s="20"/>
      <c r="G6" s="5" t="s">
        <v>144</v>
      </c>
      <c r="H6" s="20"/>
      <c r="I6" s="20"/>
      <c r="J6" s="20" t="s">
        <v>144</v>
      </c>
      <c r="K6" s="20"/>
      <c r="L6" s="20"/>
      <c r="M6" s="20" t="s">
        <v>145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 spans="1:27" x14ac:dyDescent="0.2">
      <c r="A7" s="20" t="s">
        <v>146</v>
      </c>
      <c r="B7" s="28" t="s">
        <v>147</v>
      </c>
      <c r="D7" s="28" t="s">
        <v>151</v>
      </c>
      <c r="E7" s="20"/>
      <c r="F7" s="20"/>
      <c r="G7" s="29" t="s">
        <v>152</v>
      </c>
      <c r="H7" s="20"/>
      <c r="I7" s="20"/>
      <c r="J7" s="28" t="s">
        <v>154</v>
      </c>
      <c r="K7" s="20"/>
      <c r="L7" s="20"/>
      <c r="M7" s="28" t="s">
        <v>156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 spans="1:27" x14ac:dyDescent="0.2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27" x14ac:dyDescent="0.2">
      <c r="A9" s="19" t="s">
        <v>157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x14ac:dyDescent="0.2">
      <c r="A10" s="18" t="s">
        <v>103</v>
      </c>
      <c r="B10" s="21" t="s">
        <v>104</v>
      </c>
      <c r="C10" s="21" t="s">
        <v>107</v>
      </c>
      <c r="D10" s="21" t="s">
        <v>108</v>
      </c>
      <c r="E10" s="21" t="s">
        <v>109</v>
      </c>
      <c r="F10" s="18" t="s">
        <v>110</v>
      </c>
      <c r="G10" s="21" t="s">
        <v>111</v>
      </c>
      <c r="H10" s="21" t="s">
        <v>112</v>
      </c>
      <c r="I10" s="18" t="s">
        <v>113</v>
      </c>
      <c r="J10" s="21" t="s">
        <v>114</v>
      </c>
      <c r="K10" s="21" t="s">
        <v>115</v>
      </c>
      <c r="L10" s="18" t="s">
        <v>116</v>
      </c>
      <c r="M10" s="21" t="s">
        <v>117</v>
      </c>
      <c r="N10" s="18" t="s">
        <v>118</v>
      </c>
      <c r="O10" s="18" t="s">
        <v>119</v>
      </c>
      <c r="P10" s="18" t="s">
        <v>120</v>
      </c>
      <c r="Q10" s="18" t="s">
        <v>121</v>
      </c>
      <c r="R10" s="12" t="s">
        <v>122</v>
      </c>
      <c r="S10" s="18" t="s">
        <v>123</v>
      </c>
      <c r="T10" s="18" t="s">
        <v>124</v>
      </c>
      <c r="U10" s="18" t="s">
        <v>125</v>
      </c>
      <c r="V10" s="18" t="s">
        <v>126</v>
      </c>
      <c r="W10" s="18" t="s">
        <v>127</v>
      </c>
      <c r="X10" s="18" t="s">
        <v>128</v>
      </c>
      <c r="Y10" s="20"/>
      <c r="Z10" s="20"/>
      <c r="AA10" s="20"/>
    </row>
    <row r="11" spans="1:27" x14ac:dyDescent="0.2">
      <c r="A11" s="18" t="s">
        <v>129</v>
      </c>
      <c r="B11" s="23">
        <v>6</v>
      </c>
      <c r="C11" s="23">
        <v>7</v>
      </c>
      <c r="D11" s="23">
        <v>6</v>
      </c>
      <c r="E11" s="23">
        <v>7</v>
      </c>
      <c r="F11" s="18" t="str">
        <f t="shared" ref="F11:F13" si="14">IF(AND(E11&gt;C11,D11&gt;B11),"Raised",IF(AND(E11=C11,D11&gt;B11),"Floor up",IF(AND(E11&lt;C11,D11&gt;B11),"Narrowed",IF(AND(E11=C11,D11=B11),"Unchanged",IF(AND(E11&lt;C11,D11=B11),"Trimmed top",IF(AND(E11&lt;C11,D11&lt;B11),"Cut","Mixed"))))))</f>
        <v>Unchanged</v>
      </c>
      <c r="G11" s="23">
        <v>6</v>
      </c>
      <c r="H11" s="23">
        <v>7</v>
      </c>
      <c r="I11" s="18" t="str">
        <f t="shared" ref="I11:I13" si="15">IF(AND(H11&gt;E11,G11&gt;D11),"Raised",IF(AND(H11=E11,G11&gt;D11),"Floor up",IF(AND(H11&lt;E11,G11&gt;D11),"Narrowed",IF(AND(H11=E11,G11=D11),"Unchanged",IF(AND(H11&lt;E11,G11=D11),"Trimmed top",IF(AND(H11&lt;E11,G11&lt;D11),"Cut","Mixed"))))))</f>
        <v>Unchanged</v>
      </c>
      <c r="J11" s="23">
        <v>6</v>
      </c>
      <c r="K11" s="23">
        <v>7</v>
      </c>
      <c r="L11" s="18" t="str">
        <f t="shared" ref="L11:L13" si="16">IF(AND(K11&gt;H11,J11&gt;G11),"Raised",IF(AND(K11=H11,J11&gt;G11),"Floor up",IF(AND(K11&lt;H11,J11&gt;G11),"Narrowed",IF(AND(K11=H11,J11=G11),"Unchanged",IF(AND(K11&lt;H11,J11=G11),"Trimmed top",IF(AND(K11&lt;H11,J11&lt;G11),"Cut","Mixed"))))))</f>
        <v>Unchanged</v>
      </c>
      <c r="M11" s="23">
        <v>7</v>
      </c>
      <c r="N11" s="18" t="str">
        <f t="shared" ref="N11:N13" si="17">IF(M11&gt;C11,"Beat",IF(M11&lt;B11,"Missed",IF(AND(B11&lt;=M11,M11&lt;=C11),"In range")))</f>
        <v>In range</v>
      </c>
      <c r="O11" s="23">
        <f t="shared" ref="O11:O13" si="18">SUM(IF(F11="Raised",1,0)+IF(I11="Raised",1,0)+IF(L11="Raised",1,0))</f>
        <v>0</v>
      </c>
      <c r="P11" s="23">
        <f t="shared" ref="P11:P13" si="19">SUM(IF(F11="Floor up",1,0)+IF(I11="Floor up",1,0)+IF(L11="Floor up",1,0))</f>
        <v>0</v>
      </c>
      <c r="Q11" s="23">
        <f t="shared" ref="Q11:Q13" si="20">SUM(IF(F11="Narrowed",1,0)+IF(I11="Narrowed",1,0)+IF(L11="Narrowed",1,0))</f>
        <v>0</v>
      </c>
      <c r="R11" s="23">
        <f t="shared" ref="R11:R13" si="21">SUM(IF(F11="Unchanged",1,0)+IF(I11="Unchanged",1,0)+IF(L11="Unchanged",1,0))</f>
        <v>3</v>
      </c>
      <c r="S11" s="23">
        <f t="shared" ref="S11:S13" si="22">SUM(IF(F11="Trimmed top",1,0)+IF(I11="Trimmed top",1,0)+IF(L11="Trimmed top",1,0))</f>
        <v>0</v>
      </c>
      <c r="T11" s="23">
        <f t="shared" ref="T11:T13" si="23">SUM(IF(F11="Cut",1,0)+IF(I11="Cut",1,0)+IF(L11="Cut",1,0))</f>
        <v>0</v>
      </c>
      <c r="U11" s="23">
        <f t="shared" ref="U11:U13" si="24">SUM(IF(F11="Mixed",1,0)+IF(I11="Mixed",1,0)+IF(L11="Mixed",1,0))</f>
        <v>0</v>
      </c>
      <c r="V11" s="23">
        <f t="shared" ref="V11:V13" si="25">IF(N11="Beat",1,0)</f>
        <v>0</v>
      </c>
      <c r="W11" s="23">
        <f t="shared" ref="W11:W13" si="26">IF(N11="Missed",1,0)</f>
        <v>0</v>
      </c>
      <c r="X11" s="23">
        <f t="shared" ref="X11:X13" si="27">IF(N11="In range",1,0)</f>
        <v>1</v>
      </c>
      <c r="Y11" s="20"/>
      <c r="Z11" s="20"/>
      <c r="AA11" s="20"/>
    </row>
    <row r="12" spans="1:27" x14ac:dyDescent="0.2">
      <c r="A12" s="18" t="s">
        <v>139</v>
      </c>
      <c r="B12" s="23">
        <v>60</v>
      </c>
      <c r="C12" s="23">
        <v>80</v>
      </c>
      <c r="D12" s="23">
        <v>60</v>
      </c>
      <c r="E12" s="23">
        <v>80</v>
      </c>
      <c r="F12" s="18" t="str">
        <f t="shared" si="14"/>
        <v>Unchanged</v>
      </c>
      <c r="G12" s="23">
        <v>60</v>
      </c>
      <c r="H12" s="23">
        <v>70</v>
      </c>
      <c r="I12" s="18" t="str">
        <f t="shared" si="15"/>
        <v>Trimmed top</v>
      </c>
      <c r="J12" s="23">
        <v>60</v>
      </c>
      <c r="K12" s="23">
        <v>70</v>
      </c>
      <c r="L12" s="18" t="str">
        <f t="shared" si="16"/>
        <v>Unchanged</v>
      </c>
      <c r="M12" s="23">
        <v>70</v>
      </c>
      <c r="N12" s="18" t="str">
        <f t="shared" si="17"/>
        <v>In range</v>
      </c>
      <c r="O12" s="23">
        <f t="shared" si="18"/>
        <v>0</v>
      </c>
      <c r="P12" s="23">
        <f t="shared" si="19"/>
        <v>0</v>
      </c>
      <c r="Q12" s="23">
        <f t="shared" si="20"/>
        <v>0</v>
      </c>
      <c r="R12" s="23">
        <f t="shared" si="21"/>
        <v>2</v>
      </c>
      <c r="S12" s="23">
        <f t="shared" si="22"/>
        <v>1</v>
      </c>
      <c r="T12" s="23">
        <f t="shared" si="23"/>
        <v>0</v>
      </c>
      <c r="U12" s="23">
        <f t="shared" si="24"/>
        <v>0</v>
      </c>
      <c r="V12" s="23">
        <f t="shared" si="25"/>
        <v>0</v>
      </c>
      <c r="W12" s="23">
        <f t="shared" si="26"/>
        <v>0</v>
      </c>
      <c r="X12" s="23">
        <f t="shared" si="27"/>
        <v>1</v>
      </c>
      <c r="Y12" s="20"/>
      <c r="Z12" s="20"/>
      <c r="AA12" s="20"/>
    </row>
    <row r="13" spans="1:27" x14ac:dyDescent="0.2">
      <c r="A13" s="18" t="s">
        <v>141</v>
      </c>
      <c r="B13" s="23">
        <v>10</v>
      </c>
      <c r="C13" s="23">
        <v>12</v>
      </c>
      <c r="D13" s="23">
        <v>10</v>
      </c>
      <c r="E13" s="23">
        <v>12</v>
      </c>
      <c r="F13" s="18" t="str">
        <f t="shared" si="14"/>
        <v>Unchanged</v>
      </c>
      <c r="G13" s="23">
        <v>10</v>
      </c>
      <c r="H13" s="23">
        <v>12</v>
      </c>
      <c r="I13" s="18" t="str">
        <f t="shared" si="15"/>
        <v>Unchanged</v>
      </c>
      <c r="J13" s="23">
        <v>10</v>
      </c>
      <c r="K13" s="23">
        <v>12</v>
      </c>
      <c r="L13" s="18" t="str">
        <f t="shared" si="16"/>
        <v>Unchanged</v>
      </c>
      <c r="M13" s="23">
        <v>12</v>
      </c>
      <c r="N13" s="18" t="str">
        <f t="shared" si="17"/>
        <v>In range</v>
      </c>
      <c r="O13" s="23">
        <f t="shared" si="18"/>
        <v>0</v>
      </c>
      <c r="P13" s="23">
        <f t="shared" si="19"/>
        <v>0</v>
      </c>
      <c r="Q13" s="23">
        <f t="shared" si="20"/>
        <v>0</v>
      </c>
      <c r="R13" s="23">
        <f t="shared" si="21"/>
        <v>3</v>
      </c>
      <c r="S13" s="23">
        <f t="shared" si="22"/>
        <v>0</v>
      </c>
      <c r="T13" s="23">
        <f t="shared" si="23"/>
        <v>0</v>
      </c>
      <c r="U13" s="23">
        <f t="shared" si="24"/>
        <v>0</v>
      </c>
      <c r="V13" s="23">
        <f t="shared" si="25"/>
        <v>0</v>
      </c>
      <c r="W13" s="23">
        <f t="shared" si="26"/>
        <v>0</v>
      </c>
      <c r="X13" s="23">
        <f t="shared" si="27"/>
        <v>1</v>
      </c>
      <c r="Y13" s="20"/>
      <c r="Z13" s="20"/>
      <c r="AA13" s="20"/>
    </row>
    <row r="14" spans="1:27" x14ac:dyDescent="0.2">
      <c r="A14" s="20" t="s">
        <v>143</v>
      </c>
      <c r="B14" s="20" t="s">
        <v>145</v>
      </c>
      <c r="C14" s="20"/>
      <c r="D14" s="5" t="s">
        <v>144</v>
      </c>
      <c r="E14" s="20"/>
      <c r="F14" s="20"/>
      <c r="G14" s="20" t="s">
        <v>144</v>
      </c>
      <c r="H14" s="20"/>
      <c r="I14" s="20"/>
      <c r="J14" s="20" t="s">
        <v>144</v>
      </c>
      <c r="K14" s="20"/>
      <c r="L14" s="20"/>
      <c r="M14" s="20" t="s">
        <v>186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 spans="1:27" x14ac:dyDescent="0.2">
      <c r="A15" s="20" t="s">
        <v>146</v>
      </c>
      <c r="B15" s="28" t="s">
        <v>156</v>
      </c>
      <c r="C15" s="20"/>
      <c r="D15" s="29" t="s">
        <v>188</v>
      </c>
      <c r="E15" s="20"/>
      <c r="F15" s="20"/>
      <c r="G15" s="28" t="s">
        <v>190</v>
      </c>
      <c r="H15" s="20"/>
      <c r="I15" s="20"/>
      <c r="J15" s="28" t="s">
        <v>191</v>
      </c>
      <c r="K15" s="20"/>
      <c r="L15" s="20"/>
      <c r="M15" s="28" t="s">
        <v>193</v>
      </c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 spans="1:27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 spans="1:27" x14ac:dyDescent="0.2">
      <c r="A17" s="19" t="s">
        <v>194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</row>
    <row r="18" spans="1:27" x14ac:dyDescent="0.2">
      <c r="A18" s="18" t="s">
        <v>103</v>
      </c>
      <c r="B18" s="21" t="s">
        <v>104</v>
      </c>
      <c r="C18" s="21" t="s">
        <v>107</v>
      </c>
      <c r="D18" s="21" t="s">
        <v>108</v>
      </c>
      <c r="E18" s="21" t="s">
        <v>109</v>
      </c>
      <c r="F18" s="18" t="s">
        <v>110</v>
      </c>
      <c r="G18" s="21" t="s">
        <v>111</v>
      </c>
      <c r="H18" s="21" t="s">
        <v>112</v>
      </c>
      <c r="I18" s="18" t="s">
        <v>113</v>
      </c>
      <c r="J18" s="21" t="s">
        <v>114</v>
      </c>
      <c r="K18" s="21" t="s">
        <v>115</v>
      </c>
      <c r="L18" s="18" t="s">
        <v>116</v>
      </c>
      <c r="M18" s="21" t="s">
        <v>117</v>
      </c>
      <c r="N18" s="18" t="s">
        <v>118</v>
      </c>
      <c r="O18" s="18" t="s">
        <v>119</v>
      </c>
      <c r="P18" s="18" t="s">
        <v>120</v>
      </c>
      <c r="Q18" s="18" t="s">
        <v>121</v>
      </c>
      <c r="R18" s="12" t="s">
        <v>122</v>
      </c>
      <c r="S18" s="18" t="s">
        <v>123</v>
      </c>
      <c r="T18" s="18" t="s">
        <v>124</v>
      </c>
      <c r="U18" s="18" t="s">
        <v>125</v>
      </c>
      <c r="V18" s="18" t="s">
        <v>126</v>
      </c>
      <c r="W18" s="18" t="s">
        <v>127</v>
      </c>
      <c r="X18" s="18" t="s">
        <v>128</v>
      </c>
      <c r="Y18" s="20"/>
      <c r="Z18" s="20"/>
      <c r="AA18" s="20"/>
    </row>
    <row r="19" spans="1:27" x14ac:dyDescent="0.2">
      <c r="A19" s="18" t="s">
        <v>129</v>
      </c>
      <c r="B19" s="23">
        <v>5</v>
      </c>
      <c r="C19" s="23">
        <v>6</v>
      </c>
      <c r="D19" s="23">
        <v>6</v>
      </c>
      <c r="E19" s="23">
        <v>7</v>
      </c>
      <c r="F19" s="18" t="str">
        <f t="shared" ref="F19:F21" si="28">IF(AND(E19&gt;C19,D19&gt;B19),"Raised",IF(AND(E19=C19,D19&gt;B19),"Floor up",IF(AND(E19&lt;C19,D19&gt;B19),"Narrowed",IF(AND(E19=C19,D19=B19),"Unchanged",IF(AND(E19&lt;C19,D19=B19),"Trimmed top",IF(AND(E19&lt;C19,D19&lt;B19),"Cut","Mixed"))))))</f>
        <v>Raised</v>
      </c>
      <c r="G19" s="23">
        <v>6</v>
      </c>
      <c r="H19" s="23">
        <v>7</v>
      </c>
      <c r="I19" s="18" t="str">
        <f t="shared" ref="I19:I21" si="29">IF(AND(H19&gt;E19,G19&gt;D19),"Raised",IF(AND(H19=E19,G19&gt;D19),"Floor up",IF(AND(H19&lt;E19,G19&gt;D19),"Narrowed",IF(AND(H19=E19,G19=D19),"Unchanged",IF(AND(H19&lt;E19,G19=D19),"Trimmed top",IF(AND(H19&lt;E19,G19&lt;D19),"Cut","Mixed"))))))</f>
        <v>Unchanged</v>
      </c>
      <c r="J19" s="23">
        <v>6</v>
      </c>
      <c r="K19" s="23">
        <v>7</v>
      </c>
      <c r="L19" s="18" t="str">
        <f t="shared" ref="L19:L21" si="30">IF(AND(K19&gt;H19,J19&gt;G19),"Raised",IF(AND(K19=H19,J19&gt;G19),"Floor up",IF(AND(K19&lt;H19,J19&gt;G19),"Narrowed",IF(AND(K19=H19,J19=G19),"Unchanged",IF(AND(K19&lt;H19,J19=G19),"Trimmed top",IF(AND(K19&lt;H19,J19&lt;G19),"Cut","Mixed"))))))</f>
        <v>Unchanged</v>
      </c>
      <c r="M19" s="23">
        <v>7</v>
      </c>
      <c r="N19" s="18" t="str">
        <f t="shared" ref="N19:N21" si="31">IF(M19&gt;C19,"Beat",IF(M19&lt;B19,"Missed",IF(AND(B19&lt;=M19,M19&lt;=C19),"In range")))</f>
        <v>Beat</v>
      </c>
      <c r="O19" s="23">
        <f t="shared" ref="O19:O21" si="32">SUM(IF(F19="Raised",1,0)+IF(I19="Raised",1,0)+IF(L19="Raised",1,0))</f>
        <v>1</v>
      </c>
      <c r="P19" s="23">
        <f t="shared" ref="P19:P21" si="33">SUM(IF(F19="Floor up",1,0)+IF(I19="Floor up",1,0)+IF(L19="Floor up",1,0))</f>
        <v>0</v>
      </c>
      <c r="Q19" s="23">
        <f t="shared" ref="Q19:Q21" si="34">SUM(IF(F19="Narrowed",1,0)+IF(I19="Narrowed",1,0)+IF(L19="Narrowed",1,0))</f>
        <v>0</v>
      </c>
      <c r="R19" s="23">
        <f t="shared" ref="R19:R21" si="35">SUM(IF(F19="Unchanged",1,0)+IF(I19="Unchanged",1,0)+IF(L19="Unchanged",1,0))</f>
        <v>2</v>
      </c>
      <c r="S19" s="23">
        <f t="shared" ref="S19:S21" si="36">SUM(IF(F19="Trimmed top",1,0)+IF(I19="Trimmed top",1,0)+IF(L19="Trimmed top",1,0))</f>
        <v>0</v>
      </c>
      <c r="T19" s="23">
        <f t="shared" ref="T19:T21" si="37">SUM(IF(F19="Cut",1,0)+IF(I19="Cut",1,0)+IF(L19="Cut",1,0))</f>
        <v>0</v>
      </c>
      <c r="U19" s="23">
        <f t="shared" ref="U19:U21" si="38">SUM(IF(F19="Mixed",1,0)+IF(I19="Mixed",1,0)+IF(L19="Mixed",1,0))</f>
        <v>0</v>
      </c>
      <c r="V19" s="23">
        <f t="shared" ref="V19:V21" si="39">IF(N19="Beat",1,0)</f>
        <v>1</v>
      </c>
      <c r="W19" s="23">
        <f t="shared" ref="W19:W21" si="40">IF(N19="Missed",1,0)</f>
        <v>0</v>
      </c>
      <c r="X19" s="23">
        <f t="shared" ref="X19:X21" si="41">IF(N19="In range",1,0)</f>
        <v>0</v>
      </c>
      <c r="Y19" s="20"/>
      <c r="Z19" s="20"/>
      <c r="AA19" s="20"/>
    </row>
    <row r="20" spans="1:27" x14ac:dyDescent="0.2">
      <c r="A20" s="18" t="s">
        <v>139</v>
      </c>
      <c r="B20" s="23">
        <v>60</v>
      </c>
      <c r="C20" s="23">
        <v>80</v>
      </c>
      <c r="D20" s="23">
        <v>30</v>
      </c>
      <c r="E20" s="23">
        <v>50</v>
      </c>
      <c r="F20" s="18" t="str">
        <f t="shared" si="28"/>
        <v>Cut</v>
      </c>
      <c r="G20" s="23">
        <v>30</v>
      </c>
      <c r="H20" s="23">
        <v>50</v>
      </c>
      <c r="I20" s="18" t="str">
        <f t="shared" si="29"/>
        <v>Unchanged</v>
      </c>
      <c r="J20" s="23">
        <v>40</v>
      </c>
      <c r="K20" s="23">
        <v>50</v>
      </c>
      <c r="L20" s="18" t="str">
        <f t="shared" si="30"/>
        <v>Floor up</v>
      </c>
      <c r="M20" s="23">
        <v>50</v>
      </c>
      <c r="N20" s="18" t="str">
        <f t="shared" si="31"/>
        <v>Missed</v>
      </c>
      <c r="O20" s="23">
        <f t="shared" si="32"/>
        <v>0</v>
      </c>
      <c r="P20" s="23">
        <f t="shared" si="33"/>
        <v>1</v>
      </c>
      <c r="Q20" s="23">
        <f t="shared" si="34"/>
        <v>0</v>
      </c>
      <c r="R20" s="23">
        <f t="shared" si="35"/>
        <v>1</v>
      </c>
      <c r="S20" s="23">
        <f t="shared" si="36"/>
        <v>0</v>
      </c>
      <c r="T20" s="23">
        <f t="shared" si="37"/>
        <v>1</v>
      </c>
      <c r="U20" s="23">
        <f t="shared" si="38"/>
        <v>0</v>
      </c>
      <c r="V20" s="23">
        <f t="shared" si="39"/>
        <v>0</v>
      </c>
      <c r="W20" s="23">
        <f t="shared" si="40"/>
        <v>1</v>
      </c>
      <c r="X20" s="23">
        <f t="shared" si="41"/>
        <v>0</v>
      </c>
      <c r="Y20" s="20"/>
      <c r="Z20" s="20"/>
      <c r="AA20" s="20"/>
    </row>
    <row r="21" spans="1:27" x14ac:dyDescent="0.2">
      <c r="A21" s="18" t="s">
        <v>141</v>
      </c>
      <c r="B21" s="23">
        <v>8</v>
      </c>
      <c r="C21" s="23">
        <v>10</v>
      </c>
      <c r="D21" s="23">
        <v>7</v>
      </c>
      <c r="E21" s="23">
        <v>9</v>
      </c>
      <c r="F21" s="18" t="str">
        <f t="shared" si="28"/>
        <v>Cut</v>
      </c>
      <c r="G21" s="23">
        <v>7</v>
      </c>
      <c r="H21" s="23">
        <v>9</v>
      </c>
      <c r="I21" s="18" t="str">
        <f t="shared" si="29"/>
        <v>Unchanged</v>
      </c>
      <c r="J21" s="23">
        <v>8</v>
      </c>
      <c r="K21" s="23">
        <v>9</v>
      </c>
      <c r="L21" s="18" t="str">
        <f t="shared" si="30"/>
        <v>Floor up</v>
      </c>
      <c r="M21" s="23">
        <v>9</v>
      </c>
      <c r="N21" s="18" t="str">
        <f t="shared" si="31"/>
        <v>In range</v>
      </c>
      <c r="O21" s="23">
        <f t="shared" si="32"/>
        <v>0</v>
      </c>
      <c r="P21" s="23">
        <f t="shared" si="33"/>
        <v>1</v>
      </c>
      <c r="Q21" s="23">
        <f t="shared" si="34"/>
        <v>0</v>
      </c>
      <c r="R21" s="23">
        <f t="shared" si="35"/>
        <v>1</v>
      </c>
      <c r="S21" s="23">
        <f t="shared" si="36"/>
        <v>0</v>
      </c>
      <c r="T21" s="23">
        <f t="shared" si="37"/>
        <v>1</v>
      </c>
      <c r="U21" s="23">
        <f t="shared" si="38"/>
        <v>0</v>
      </c>
      <c r="V21" s="23">
        <f t="shared" si="39"/>
        <v>0</v>
      </c>
      <c r="W21" s="23">
        <f t="shared" si="40"/>
        <v>0</v>
      </c>
      <c r="X21" s="23">
        <f t="shared" si="41"/>
        <v>1</v>
      </c>
      <c r="Y21" s="20"/>
      <c r="Z21" s="20"/>
      <c r="AA21" s="20"/>
    </row>
    <row r="22" spans="1:27" x14ac:dyDescent="0.2">
      <c r="A22" s="20" t="s">
        <v>143</v>
      </c>
      <c r="B22" s="20" t="s">
        <v>145</v>
      </c>
      <c r="C22" s="20"/>
      <c r="D22" s="20" t="s">
        <v>144</v>
      </c>
      <c r="E22" s="20"/>
      <c r="F22" s="20"/>
      <c r="G22" s="20" t="s">
        <v>144</v>
      </c>
      <c r="H22" s="20"/>
      <c r="I22" s="20"/>
      <c r="J22" s="20" t="s">
        <v>144</v>
      </c>
      <c r="K22" s="20"/>
      <c r="L22" s="20"/>
      <c r="M22" s="20" t="s">
        <v>145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 spans="1:27" x14ac:dyDescent="0.2">
      <c r="A23" s="20" t="s">
        <v>146</v>
      </c>
      <c r="B23" s="28" t="s">
        <v>193</v>
      </c>
      <c r="C23" s="20"/>
      <c r="D23" s="28" t="s">
        <v>195</v>
      </c>
      <c r="E23" s="20"/>
      <c r="F23" s="20"/>
      <c r="G23" s="28" t="s">
        <v>196</v>
      </c>
      <c r="H23" s="20"/>
      <c r="I23" s="20"/>
      <c r="J23" s="28" t="s">
        <v>197</v>
      </c>
      <c r="K23" s="20"/>
      <c r="L23" s="20"/>
      <c r="M23" s="28" t="s">
        <v>198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 spans="1:27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 spans="1:27" x14ac:dyDescent="0.2">
      <c r="A25" s="33" t="s">
        <v>199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0"/>
      <c r="Z25" s="20"/>
      <c r="AA25" s="20"/>
    </row>
    <row r="26" spans="1:27" x14ac:dyDescent="0.2">
      <c r="A26" s="35" t="s">
        <v>103</v>
      </c>
      <c r="B26" s="36" t="s">
        <v>104</v>
      </c>
      <c r="C26" s="36" t="s">
        <v>107</v>
      </c>
      <c r="D26" s="36" t="s">
        <v>108</v>
      </c>
      <c r="E26" s="36" t="s">
        <v>109</v>
      </c>
      <c r="F26" s="35" t="s">
        <v>110</v>
      </c>
      <c r="G26" s="36" t="s">
        <v>111</v>
      </c>
      <c r="H26" s="36" t="s">
        <v>112</v>
      </c>
      <c r="I26" s="35" t="s">
        <v>113</v>
      </c>
      <c r="J26" s="36" t="s">
        <v>114</v>
      </c>
      <c r="K26" s="36" t="s">
        <v>115</v>
      </c>
      <c r="L26" s="35" t="s">
        <v>116</v>
      </c>
      <c r="M26" s="36" t="s">
        <v>117</v>
      </c>
      <c r="N26" s="35" t="s">
        <v>118</v>
      </c>
      <c r="O26" s="35" t="s">
        <v>119</v>
      </c>
      <c r="P26" s="35" t="s">
        <v>120</v>
      </c>
      <c r="Q26" s="35" t="s">
        <v>121</v>
      </c>
      <c r="R26" s="35" t="s">
        <v>122</v>
      </c>
      <c r="S26" s="35" t="s">
        <v>123</v>
      </c>
      <c r="T26" s="35" t="s">
        <v>124</v>
      </c>
      <c r="U26" s="35" t="s">
        <v>125</v>
      </c>
      <c r="V26" s="35" t="s">
        <v>126</v>
      </c>
      <c r="W26" s="35" t="s">
        <v>127</v>
      </c>
      <c r="X26" s="35" t="s">
        <v>128</v>
      </c>
      <c r="Y26" s="20"/>
      <c r="Z26" s="20"/>
      <c r="AA26" s="20"/>
    </row>
    <row r="27" spans="1:27" x14ac:dyDescent="0.2">
      <c r="A27" s="35" t="s">
        <v>129</v>
      </c>
      <c r="B27" s="37">
        <v>5</v>
      </c>
      <c r="C27" s="37">
        <v>6</v>
      </c>
      <c r="D27" s="37">
        <v>5</v>
      </c>
      <c r="E27" s="37">
        <v>6</v>
      </c>
      <c r="F27" s="35" t="str">
        <f t="shared" ref="F27:F29" si="42">IF(AND(E27&gt;C27,D27&gt;B27),"Raised",IF(AND(E27=C27,D27&gt;B27),"Floor up",IF(AND(E27&lt;C27,D27&gt;B27),"Narrowed",IF(AND(E27=C27,D27=B27),"Unchanged",IF(AND(E27&lt;C27,D27=B27),"Trimmed top",IF(AND(E27&lt;C27,D27&lt;B27),"Cut","Mixed"))))))</f>
        <v>Unchanged</v>
      </c>
      <c r="G27" s="37">
        <v>6</v>
      </c>
      <c r="H27" s="37">
        <v>6</v>
      </c>
      <c r="I27" s="18" t="str">
        <f t="shared" ref="I27:I29" si="43">IF(AND(H27&gt;E27,G27&gt;D27),"Raised",IF(AND(H27=E27,G27&gt;D27),"Floor up",IF(AND(H27&lt;E27,G27&gt;D27),"Narrowed",IF(AND(H27=E27,G27=D27),"Unchanged",IF(AND(H27&lt;E27,G27=D27),"Trimmed top",IF(AND(H27&lt;E27,G27&lt;D27),"Cut","Mixed"))))))</f>
        <v>Floor up</v>
      </c>
      <c r="J27" s="37">
        <v>6</v>
      </c>
      <c r="K27" s="37">
        <v>7</v>
      </c>
      <c r="L27" s="18" t="str">
        <f t="shared" ref="L27:L29" si="44">IF(AND(K27&gt;H27,J27&gt;G27),"Raised",IF(AND(K27=H27,J27&gt;G27),"Floor up",IF(AND(K27&lt;H27,J27&gt;G27),"Narrowed",IF(AND(K27=H27,J27=G27),"Unchanged",IF(AND(K27&lt;H27,J27=G27),"Trimmed top",IF(AND(K27&lt;H27,J27&lt;G27),"Cut","Mixed"))))))</f>
        <v>Mixed</v>
      </c>
      <c r="M27" s="37"/>
      <c r="N27" s="18" t="str">
        <f t="shared" ref="N27:N29" si="45">IF(M27&gt;C27,"Beat",IF(M27&lt;B27,"Missed",IF(AND(B27&lt;=M27,M27&lt;=C27),"In range")))</f>
        <v>Missed</v>
      </c>
      <c r="O27" s="37">
        <f t="shared" ref="O27:O29" si="46">SUM(IF(F27="Raised",1,0)+IF(I27="Raised",1,0)+IF(L27="Raised",1,0))</f>
        <v>0</v>
      </c>
      <c r="P27" s="37">
        <f t="shared" ref="P27:P29" si="47">SUM(IF(F27="Floor up",1,0)+IF(I27="Floor up",1,0)+IF(L27="Floor up",1,0))</f>
        <v>1</v>
      </c>
      <c r="Q27" s="37">
        <f t="shared" ref="Q27:Q29" si="48">SUM(IF(F27="Narrowed",1,0)+IF(I27="Narrowed",1,0)+IF(L27="Narrowed",1,0))</f>
        <v>0</v>
      </c>
      <c r="R27" s="37">
        <f t="shared" ref="R27:R29" si="49">SUM(IF(F27="Unchanged",1,0)+IF(I27="Unchanged",1,0)+IF(L27="Unchanged",1,0))</f>
        <v>1</v>
      </c>
      <c r="S27" s="37">
        <f t="shared" ref="S27:S29" si="50">SUM(IF(F27="Trimmed top",1,0)+IF(I27="Trimmed top",1,0)+IF(L27="Trimmed top",1,0))</f>
        <v>0</v>
      </c>
      <c r="T27" s="37">
        <f t="shared" ref="T27:T29" si="51">SUM(IF(F27="Cut",1,0)+IF(I27="Cut",1,0)+IF(L27="Cut",1,0))</f>
        <v>0</v>
      </c>
      <c r="U27" s="37">
        <f t="shared" ref="U27:U29" si="52">SUM(IF(F27="Mixed",1,0)+IF(I27="Mixed",1,0)+IF(L27="Mixed",1,0))</f>
        <v>1</v>
      </c>
      <c r="V27" s="37">
        <f t="shared" ref="V27:V29" si="53">IF(N27="Beat",1,0)</f>
        <v>0</v>
      </c>
      <c r="W27" s="37">
        <f t="shared" ref="W27:W29" si="54">IF(N27="Missed",1,0)</f>
        <v>1</v>
      </c>
      <c r="X27" s="37">
        <f t="shared" ref="X27:X29" si="55">IF(N27="In range",1,0)</f>
        <v>0</v>
      </c>
      <c r="Y27" s="20"/>
      <c r="Z27" s="20"/>
      <c r="AA27" s="20"/>
    </row>
    <row r="28" spans="1:27" x14ac:dyDescent="0.2">
      <c r="A28" s="35" t="s">
        <v>139</v>
      </c>
      <c r="B28" s="37">
        <v>50</v>
      </c>
      <c r="C28" s="37">
        <v>70</v>
      </c>
      <c r="D28" s="37">
        <v>50</v>
      </c>
      <c r="E28" s="37">
        <v>70</v>
      </c>
      <c r="F28" s="35" t="str">
        <f t="shared" si="42"/>
        <v>Unchanged</v>
      </c>
      <c r="G28" s="37">
        <v>50</v>
      </c>
      <c r="H28" s="37">
        <v>70</v>
      </c>
      <c r="I28" s="18" t="str">
        <f t="shared" si="43"/>
        <v>Unchanged</v>
      </c>
      <c r="J28" s="37">
        <v>70</v>
      </c>
      <c r="K28" s="37">
        <v>80</v>
      </c>
      <c r="L28" s="18" t="str">
        <f t="shared" si="44"/>
        <v>Raised</v>
      </c>
      <c r="M28" s="37"/>
      <c r="N28" s="18" t="str">
        <f t="shared" si="45"/>
        <v>Missed</v>
      </c>
      <c r="O28" s="37">
        <f t="shared" si="46"/>
        <v>1</v>
      </c>
      <c r="P28" s="37">
        <f t="shared" si="47"/>
        <v>0</v>
      </c>
      <c r="Q28" s="37">
        <f t="shared" si="48"/>
        <v>0</v>
      </c>
      <c r="R28" s="37">
        <f t="shared" si="49"/>
        <v>2</v>
      </c>
      <c r="S28" s="37">
        <f t="shared" si="50"/>
        <v>0</v>
      </c>
      <c r="T28" s="37">
        <f t="shared" si="51"/>
        <v>0</v>
      </c>
      <c r="U28" s="37">
        <f t="shared" si="52"/>
        <v>0</v>
      </c>
      <c r="V28" s="37">
        <f t="shared" si="53"/>
        <v>0</v>
      </c>
      <c r="W28" s="37">
        <f t="shared" si="54"/>
        <v>1</v>
      </c>
      <c r="X28" s="37">
        <f t="shared" si="55"/>
        <v>0</v>
      </c>
      <c r="Y28" s="20"/>
      <c r="Z28" s="20"/>
      <c r="AA28" s="20"/>
    </row>
    <row r="29" spans="1:27" x14ac:dyDescent="0.2">
      <c r="A29" s="35" t="s">
        <v>141</v>
      </c>
      <c r="B29" s="37">
        <v>8</v>
      </c>
      <c r="C29" s="37">
        <v>10</v>
      </c>
      <c r="D29" s="37">
        <v>8</v>
      </c>
      <c r="E29" s="37">
        <v>10</v>
      </c>
      <c r="F29" s="35" t="str">
        <f t="shared" si="42"/>
        <v>Unchanged</v>
      </c>
      <c r="G29" s="37">
        <v>9</v>
      </c>
      <c r="H29" s="37">
        <v>10</v>
      </c>
      <c r="I29" s="18" t="str">
        <f t="shared" si="43"/>
        <v>Floor up</v>
      </c>
      <c r="J29" s="37">
        <v>10</v>
      </c>
      <c r="K29" s="37">
        <v>11</v>
      </c>
      <c r="L29" s="18" t="str">
        <f t="shared" si="44"/>
        <v>Raised</v>
      </c>
      <c r="M29" s="37"/>
      <c r="N29" s="18" t="str">
        <f t="shared" si="45"/>
        <v>Missed</v>
      </c>
      <c r="O29" s="37">
        <f t="shared" si="46"/>
        <v>1</v>
      </c>
      <c r="P29" s="37">
        <f t="shared" si="47"/>
        <v>1</v>
      </c>
      <c r="Q29" s="37">
        <f t="shared" si="48"/>
        <v>0</v>
      </c>
      <c r="R29" s="37">
        <f t="shared" si="49"/>
        <v>1</v>
      </c>
      <c r="S29" s="37">
        <f t="shared" si="50"/>
        <v>0</v>
      </c>
      <c r="T29" s="37">
        <f t="shared" si="51"/>
        <v>0</v>
      </c>
      <c r="U29" s="37">
        <f t="shared" si="52"/>
        <v>0</v>
      </c>
      <c r="V29" s="37">
        <f t="shared" si="53"/>
        <v>0</v>
      </c>
      <c r="W29" s="37">
        <f t="shared" si="54"/>
        <v>1</v>
      </c>
      <c r="X29" s="37">
        <f t="shared" si="55"/>
        <v>0</v>
      </c>
      <c r="Y29" s="20"/>
      <c r="Z29" s="20"/>
      <c r="AA29" s="20"/>
    </row>
    <row r="30" spans="1:27" x14ac:dyDescent="0.2">
      <c r="A30" s="20" t="s">
        <v>143</v>
      </c>
      <c r="B30" s="20" t="s">
        <v>145</v>
      </c>
      <c r="C30" s="20"/>
      <c r="D30" s="20" t="s">
        <v>144</v>
      </c>
      <c r="E30" s="20"/>
      <c r="F30" s="20"/>
      <c r="G30" s="20" t="s">
        <v>144</v>
      </c>
      <c r="H30" s="20"/>
      <c r="I30" s="20"/>
      <c r="J30" s="20" t="s">
        <v>144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 spans="1:27" x14ac:dyDescent="0.2">
      <c r="A31" s="20" t="s">
        <v>146</v>
      </c>
      <c r="B31" s="28" t="s">
        <v>198</v>
      </c>
      <c r="C31" s="20"/>
      <c r="D31" s="28" t="s">
        <v>212</v>
      </c>
      <c r="E31" s="20"/>
      <c r="F31" s="20"/>
      <c r="G31" s="28" t="s">
        <v>213</v>
      </c>
      <c r="H31" s="20"/>
      <c r="I31" s="20"/>
      <c r="J31" s="28" t="s">
        <v>214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 spans="1:27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 spans="1:27" x14ac:dyDescent="0.2">
      <c r="A33" s="43" t="s">
        <v>215</v>
      </c>
      <c r="B33" s="43" t="s">
        <v>119</v>
      </c>
      <c r="C33" s="43" t="s">
        <v>120</v>
      </c>
      <c r="D33" s="43" t="s">
        <v>121</v>
      </c>
      <c r="E33" s="3" t="s">
        <v>122</v>
      </c>
      <c r="F33" s="43" t="s">
        <v>123</v>
      </c>
      <c r="G33" s="43" t="s">
        <v>124</v>
      </c>
      <c r="H33" s="43" t="s">
        <v>125</v>
      </c>
      <c r="I33" s="20"/>
      <c r="J33" s="20"/>
      <c r="K33" s="20"/>
      <c r="L33" s="20"/>
      <c r="M33" s="20"/>
      <c r="N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 spans="1:27" x14ac:dyDescent="0.2">
      <c r="A34" s="12" t="s">
        <v>216</v>
      </c>
      <c r="B34" s="23">
        <f t="shared" ref="B34:H34" si="56">SUMIF(O:O,"&gt;0",O:O)</f>
        <v>5</v>
      </c>
      <c r="C34" s="23">
        <f t="shared" si="56"/>
        <v>6</v>
      </c>
      <c r="D34" s="23">
        <f t="shared" si="56"/>
        <v>0</v>
      </c>
      <c r="E34" s="23">
        <f t="shared" si="56"/>
        <v>21</v>
      </c>
      <c r="F34" s="23">
        <f t="shared" si="56"/>
        <v>1</v>
      </c>
      <c r="G34" s="23">
        <f t="shared" si="56"/>
        <v>2</v>
      </c>
      <c r="H34" s="23">
        <f t="shared" si="56"/>
        <v>1</v>
      </c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 spans="1:27" x14ac:dyDescent="0.2">
      <c r="A35" s="12" t="s">
        <v>38</v>
      </c>
      <c r="B35" s="13">
        <f t="shared" ref="B35:H35" si="57">B34/SUM($B$34:$H$34)</f>
        <v>0.1388888888888889</v>
      </c>
      <c r="C35" s="13">
        <f t="shared" si="57"/>
        <v>0.16666666666666666</v>
      </c>
      <c r="D35" s="13">
        <f t="shared" si="57"/>
        <v>0</v>
      </c>
      <c r="E35" s="13">
        <f t="shared" si="57"/>
        <v>0.58333333333333337</v>
      </c>
      <c r="F35" s="13">
        <f t="shared" si="57"/>
        <v>2.7777777777777776E-2</v>
      </c>
      <c r="G35" s="13">
        <f t="shared" si="57"/>
        <v>5.5555555555555552E-2</v>
      </c>
      <c r="H35" s="13">
        <f t="shared" si="57"/>
        <v>2.7777777777777776E-2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 spans="1:27" x14ac:dyDescent="0.2">
      <c r="A36" s="20"/>
      <c r="B36" s="45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 spans="1:27" x14ac:dyDescent="0.2">
      <c r="A37" s="3" t="s">
        <v>224</v>
      </c>
      <c r="B37" s="43" t="s">
        <v>126</v>
      </c>
      <c r="C37" s="43" t="s">
        <v>127</v>
      </c>
      <c r="D37" s="43" t="s">
        <v>128</v>
      </c>
      <c r="F37" s="20"/>
      <c r="G37" s="20"/>
      <c r="H37" s="46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 spans="1:27" x14ac:dyDescent="0.2">
      <c r="A38" s="12" t="s">
        <v>216</v>
      </c>
      <c r="B38" s="23">
        <f>SUMIF(V:V,"&gt;0")</f>
        <v>3</v>
      </c>
      <c r="C38" s="23">
        <v>0</v>
      </c>
      <c r="D38" s="23">
        <f>SUMIF(X:X,"&gt;0")</f>
        <v>5</v>
      </c>
      <c r="E38" s="20"/>
      <c r="F38" s="20"/>
      <c r="G38" s="20"/>
      <c r="H38" s="47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 spans="1:27" x14ac:dyDescent="0.2">
      <c r="A39" s="12" t="s">
        <v>38</v>
      </c>
      <c r="B39" s="13">
        <f t="shared" ref="B39:D39" si="58">B38/SUM($B$38:$D$38)</f>
        <v>0.375</v>
      </c>
      <c r="C39" s="13">
        <f t="shared" si="58"/>
        <v>0</v>
      </c>
      <c r="D39" s="13">
        <f t="shared" si="58"/>
        <v>0.625</v>
      </c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 spans="1:27" x14ac:dyDescent="0.2">
      <c r="A40" s="20"/>
      <c r="B40" s="45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 spans="1:27" x14ac:dyDescent="0.2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 spans="1:27" x14ac:dyDescent="0.2"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x14ac:dyDescent="0.2">
      <c r="B43" s="20"/>
      <c r="C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 spans="1:27" x14ac:dyDescent="0.2">
      <c r="B44" s="20"/>
      <c r="C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 spans="1:27" x14ac:dyDescent="0.2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 spans="1:27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 spans="1:27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 spans="1:27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 spans="1:27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spans="1:27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spans="1:27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spans="1:27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1:27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spans="1:27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1:27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1:27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1:27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1:27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1:27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1:27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1:27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1:27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1:27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1:27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1:27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1:27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x14ac:dyDescent="0.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x14ac:dyDescent="0.2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x14ac:dyDescent="0.2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x14ac:dyDescent="0.2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x14ac:dyDescent="0.2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x14ac:dyDescent="0.2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x14ac:dyDescent="0.2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x14ac:dyDescent="0.2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x14ac:dyDescent="0.2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x14ac:dyDescent="0.2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x14ac:dyDescent="0.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x14ac:dyDescent="0.2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x14ac:dyDescent="0.2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 x14ac:dyDescent="0.2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1:27" x14ac:dyDescent="0.2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 x14ac:dyDescent="0.2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1:27" x14ac:dyDescent="0.2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x14ac:dyDescent="0.2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x14ac:dyDescent="0.2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1:27" x14ac:dyDescent="0.2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1:27" x14ac:dyDescent="0.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1:27" x14ac:dyDescent="0.2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1:27" x14ac:dyDescent="0.2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1:27" x14ac:dyDescent="0.2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1:27" x14ac:dyDescent="0.2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1:27" x14ac:dyDescent="0.2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1:27" x14ac:dyDescent="0.2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1:27" x14ac:dyDescent="0.2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1:27" x14ac:dyDescent="0.2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1:27" x14ac:dyDescent="0.2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1:27" x14ac:dyDescent="0.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spans="1:27" x14ac:dyDescent="0.2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spans="1:27" x14ac:dyDescent="0.2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spans="1:27" x14ac:dyDescent="0.2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spans="1:27" x14ac:dyDescent="0.2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spans="1:27" x14ac:dyDescent="0.2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spans="1:27" x14ac:dyDescent="0.2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spans="1:27" x14ac:dyDescent="0.2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spans="1:27" x14ac:dyDescent="0.2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spans="1:27" x14ac:dyDescent="0.2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spans="1:27" x14ac:dyDescent="0.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spans="1:27" x14ac:dyDescent="0.2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spans="1:27" x14ac:dyDescent="0.2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spans="1:27" x14ac:dyDescent="0.2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1:27" x14ac:dyDescent="0.2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spans="1:27" x14ac:dyDescent="0.2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spans="1:27" x14ac:dyDescent="0.2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spans="1:27" x14ac:dyDescent="0.2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spans="1:27" x14ac:dyDescent="0.2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spans="1:27" x14ac:dyDescent="0.2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spans="1:27" x14ac:dyDescent="0.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spans="1:27" x14ac:dyDescent="0.2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spans="1:27" x14ac:dyDescent="0.2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spans="1:27" x14ac:dyDescent="0.2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spans="1:27" x14ac:dyDescent="0.2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spans="1:27" x14ac:dyDescent="0.2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spans="1:27" x14ac:dyDescent="0.2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spans="1:27" x14ac:dyDescent="0.2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 spans="1:27" x14ac:dyDescent="0.2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 spans="1:27" x14ac:dyDescent="0.2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 spans="1:27" x14ac:dyDescent="0.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 spans="1:27" x14ac:dyDescent="0.2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spans="1:27" x14ac:dyDescent="0.2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spans="1:27" x14ac:dyDescent="0.2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spans="1:27" x14ac:dyDescent="0.2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 spans="1:27" x14ac:dyDescent="0.2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 spans="1:27" x14ac:dyDescent="0.2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 spans="1:27" x14ac:dyDescent="0.2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 spans="1:27" x14ac:dyDescent="0.2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 spans="1:27" x14ac:dyDescent="0.2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spans="1:27" x14ac:dyDescent="0.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 spans="1:27" x14ac:dyDescent="0.2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 spans="1:27" x14ac:dyDescent="0.2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 spans="1:27" x14ac:dyDescent="0.2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 spans="1:27" x14ac:dyDescent="0.2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 spans="1:27" x14ac:dyDescent="0.2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 spans="1:27" x14ac:dyDescent="0.2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 spans="1:27" x14ac:dyDescent="0.2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 spans="1:27" x14ac:dyDescent="0.2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 spans="1:27" x14ac:dyDescent="0.2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 spans="1:27" x14ac:dyDescent="0.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 spans="1:27" x14ac:dyDescent="0.2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 spans="1:27" x14ac:dyDescent="0.2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 spans="1:27" x14ac:dyDescent="0.2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 spans="1:27" x14ac:dyDescent="0.2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 spans="1:27" x14ac:dyDescent="0.2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 spans="1:27" x14ac:dyDescent="0.2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 spans="1:27" x14ac:dyDescent="0.2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 spans="1:27" x14ac:dyDescent="0.2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 spans="1:27" x14ac:dyDescent="0.2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 spans="1:27" x14ac:dyDescent="0.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 spans="1:27" x14ac:dyDescent="0.2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 spans="1:27" x14ac:dyDescent="0.2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 spans="1:27" x14ac:dyDescent="0.2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 spans="1:27" x14ac:dyDescent="0.2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 spans="1:27" x14ac:dyDescent="0.2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 spans="1:27" x14ac:dyDescent="0.2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 spans="1:27" x14ac:dyDescent="0.2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 spans="1:27" x14ac:dyDescent="0.2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 spans="1:27" x14ac:dyDescent="0.2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 spans="1:27" x14ac:dyDescent="0.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 spans="1:27" x14ac:dyDescent="0.2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 spans="1:27" x14ac:dyDescent="0.2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 spans="1:27" x14ac:dyDescent="0.2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 spans="1:27" x14ac:dyDescent="0.2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 spans="1:27" x14ac:dyDescent="0.2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 spans="1:27" x14ac:dyDescent="0.2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 spans="1:27" x14ac:dyDescent="0.2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 spans="1:27" x14ac:dyDescent="0.2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 spans="1:27" x14ac:dyDescent="0.2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 spans="1:27" x14ac:dyDescent="0.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 spans="1:27" x14ac:dyDescent="0.2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 spans="1:27" x14ac:dyDescent="0.2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 spans="1:27" x14ac:dyDescent="0.2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 spans="1:27" x14ac:dyDescent="0.2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 spans="1:27" x14ac:dyDescent="0.2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 spans="1:27" x14ac:dyDescent="0.2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 spans="1:27" x14ac:dyDescent="0.2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 spans="1:27" x14ac:dyDescent="0.2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spans="1:27" x14ac:dyDescent="0.2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 spans="1:27" x14ac:dyDescent="0.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 spans="1:27" x14ac:dyDescent="0.2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 spans="1:27" x14ac:dyDescent="0.2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 spans="1:27" x14ac:dyDescent="0.2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 spans="1:27" x14ac:dyDescent="0.2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 spans="1:27" x14ac:dyDescent="0.2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 spans="1:27" x14ac:dyDescent="0.2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 spans="1:27" x14ac:dyDescent="0.2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 spans="1:27" x14ac:dyDescent="0.2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 spans="1:27" x14ac:dyDescent="0.2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 spans="1:27" x14ac:dyDescent="0.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 spans="1:27" x14ac:dyDescent="0.2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 spans="1:27" x14ac:dyDescent="0.2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 spans="1:27" x14ac:dyDescent="0.2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 spans="1:27" x14ac:dyDescent="0.2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 spans="1:27" x14ac:dyDescent="0.2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 spans="1:27" x14ac:dyDescent="0.2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 spans="1:27" x14ac:dyDescent="0.2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 spans="1:27" x14ac:dyDescent="0.2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 spans="1:27" x14ac:dyDescent="0.2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 spans="1:27" x14ac:dyDescent="0.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 spans="1:27" x14ac:dyDescent="0.2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 spans="1:27" x14ac:dyDescent="0.2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 spans="1:27" x14ac:dyDescent="0.2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 spans="1:27" x14ac:dyDescent="0.2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 spans="1:27" x14ac:dyDescent="0.2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 spans="1:27" x14ac:dyDescent="0.2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 spans="1:27" x14ac:dyDescent="0.2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 spans="1:27" x14ac:dyDescent="0.2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 spans="1:27" x14ac:dyDescent="0.2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 spans="1:27" x14ac:dyDescent="0.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 spans="1:27" x14ac:dyDescent="0.2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 spans="1:27" x14ac:dyDescent="0.2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 spans="1:27" x14ac:dyDescent="0.2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 spans="1:27" x14ac:dyDescent="0.2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 spans="1:27" x14ac:dyDescent="0.2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 spans="1:27" x14ac:dyDescent="0.2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 spans="1:27" x14ac:dyDescent="0.2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 spans="1:27" x14ac:dyDescent="0.2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 spans="1:27" x14ac:dyDescent="0.2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 spans="1:27" x14ac:dyDescent="0.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 spans="1:27" x14ac:dyDescent="0.2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 spans="1:27" x14ac:dyDescent="0.2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 spans="1:27" x14ac:dyDescent="0.2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 spans="1:27" x14ac:dyDescent="0.2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 spans="1:27" x14ac:dyDescent="0.2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 spans="1:27" x14ac:dyDescent="0.2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 spans="1:27" x14ac:dyDescent="0.2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 spans="1:27" x14ac:dyDescent="0.2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 spans="1:27" x14ac:dyDescent="0.2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 spans="1:27" x14ac:dyDescent="0.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 spans="1:27" x14ac:dyDescent="0.2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 spans="1:27" x14ac:dyDescent="0.2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 spans="1:27" x14ac:dyDescent="0.2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 spans="1:27" x14ac:dyDescent="0.2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 spans="1:27" x14ac:dyDescent="0.2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 spans="1:27" x14ac:dyDescent="0.2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 spans="1:27" x14ac:dyDescent="0.2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 spans="1:27" x14ac:dyDescent="0.2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 spans="1:27" x14ac:dyDescent="0.2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 spans="1:27" x14ac:dyDescent="0.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 spans="1:27" x14ac:dyDescent="0.2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 spans="1:27" x14ac:dyDescent="0.2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 spans="1:27" x14ac:dyDescent="0.2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 spans="1:27" x14ac:dyDescent="0.2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 spans="1:27" x14ac:dyDescent="0.2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 spans="1:27" x14ac:dyDescent="0.2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 spans="1:27" x14ac:dyDescent="0.2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 spans="1:27" x14ac:dyDescent="0.2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 spans="1:27" x14ac:dyDescent="0.2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 spans="1:27" x14ac:dyDescent="0.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 spans="1:27" x14ac:dyDescent="0.2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 spans="1:27" x14ac:dyDescent="0.2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 spans="1:27" x14ac:dyDescent="0.2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 spans="1:27" x14ac:dyDescent="0.2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 spans="1:27" x14ac:dyDescent="0.2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 spans="1:27" x14ac:dyDescent="0.2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 spans="1:27" x14ac:dyDescent="0.2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 spans="1:27" x14ac:dyDescent="0.2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 spans="1:27" x14ac:dyDescent="0.2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 spans="1:27" x14ac:dyDescent="0.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 spans="1:27" x14ac:dyDescent="0.2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 spans="1:27" x14ac:dyDescent="0.2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 spans="1:27" x14ac:dyDescent="0.2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 spans="1:27" x14ac:dyDescent="0.2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 spans="1:27" x14ac:dyDescent="0.2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 spans="1:27" x14ac:dyDescent="0.2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 spans="1:27" x14ac:dyDescent="0.2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 spans="1:27" x14ac:dyDescent="0.2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 spans="1:27" x14ac:dyDescent="0.2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 spans="1:27" x14ac:dyDescent="0.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 spans="1:27" x14ac:dyDescent="0.2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 spans="1:27" x14ac:dyDescent="0.2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 spans="1:27" x14ac:dyDescent="0.2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 spans="1:27" x14ac:dyDescent="0.2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 spans="1:27" x14ac:dyDescent="0.2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 spans="1:27" x14ac:dyDescent="0.2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 spans="1:27" x14ac:dyDescent="0.2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 spans="1:27" x14ac:dyDescent="0.2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 spans="1:27" x14ac:dyDescent="0.2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 spans="1:27" x14ac:dyDescent="0.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 spans="1:27" x14ac:dyDescent="0.2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 spans="1:27" x14ac:dyDescent="0.2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 spans="1:27" x14ac:dyDescent="0.2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 spans="1:27" x14ac:dyDescent="0.2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 spans="1:27" x14ac:dyDescent="0.2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 spans="1:27" x14ac:dyDescent="0.2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 spans="1:27" x14ac:dyDescent="0.2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 spans="1:27" x14ac:dyDescent="0.2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 spans="1:27" x14ac:dyDescent="0.2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 spans="1:27" x14ac:dyDescent="0.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 spans="1:27" x14ac:dyDescent="0.2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 spans="1:27" x14ac:dyDescent="0.2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 spans="1:27" x14ac:dyDescent="0.2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 spans="1:27" x14ac:dyDescent="0.2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 spans="1:27" x14ac:dyDescent="0.2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 spans="1:27" x14ac:dyDescent="0.2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 spans="1:27" x14ac:dyDescent="0.2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 spans="1:27" x14ac:dyDescent="0.2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 spans="1:27" x14ac:dyDescent="0.2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 spans="1:27" x14ac:dyDescent="0.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 spans="1:27" x14ac:dyDescent="0.2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 spans="1:27" x14ac:dyDescent="0.2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 spans="1:27" x14ac:dyDescent="0.2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 spans="1:27" x14ac:dyDescent="0.2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 spans="1:27" x14ac:dyDescent="0.2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 spans="1:27" x14ac:dyDescent="0.2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 spans="1:27" x14ac:dyDescent="0.2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 spans="1:27" x14ac:dyDescent="0.2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 spans="1:27" x14ac:dyDescent="0.2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 spans="1:27" x14ac:dyDescent="0.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 spans="1:27" x14ac:dyDescent="0.2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 spans="1:27" x14ac:dyDescent="0.2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 spans="1:27" x14ac:dyDescent="0.2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 spans="1:27" x14ac:dyDescent="0.2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 spans="1:27" x14ac:dyDescent="0.2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 spans="1:27" x14ac:dyDescent="0.2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 spans="1:27" x14ac:dyDescent="0.2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 spans="1:27" x14ac:dyDescent="0.2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 spans="1:27" x14ac:dyDescent="0.2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 spans="1:27" x14ac:dyDescent="0.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 spans="1:27" x14ac:dyDescent="0.2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 spans="1:27" x14ac:dyDescent="0.2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 spans="1:27" x14ac:dyDescent="0.2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 spans="1:27" x14ac:dyDescent="0.2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 spans="1:27" x14ac:dyDescent="0.2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 spans="1:27" x14ac:dyDescent="0.2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 spans="1:27" x14ac:dyDescent="0.2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 spans="1:27" x14ac:dyDescent="0.2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 spans="1:27" x14ac:dyDescent="0.2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 spans="1:27" x14ac:dyDescent="0.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 spans="1:27" x14ac:dyDescent="0.2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 spans="1:27" x14ac:dyDescent="0.2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 spans="1:27" x14ac:dyDescent="0.2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 spans="1:27" x14ac:dyDescent="0.2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 spans="1:27" x14ac:dyDescent="0.2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 spans="1:27" x14ac:dyDescent="0.2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 spans="1:27" x14ac:dyDescent="0.2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 spans="1:27" x14ac:dyDescent="0.2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 spans="1:27" x14ac:dyDescent="0.2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 spans="1:27" x14ac:dyDescent="0.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 spans="1:27" x14ac:dyDescent="0.2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 spans="1:27" x14ac:dyDescent="0.2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 spans="1:27" x14ac:dyDescent="0.2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 spans="1:27" x14ac:dyDescent="0.2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 spans="1:27" x14ac:dyDescent="0.2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 spans="1:27" x14ac:dyDescent="0.2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 spans="1:27" x14ac:dyDescent="0.2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 spans="1:27" x14ac:dyDescent="0.2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 spans="1:27" x14ac:dyDescent="0.2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 spans="1:27" x14ac:dyDescent="0.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 spans="1:27" x14ac:dyDescent="0.2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 spans="1:27" x14ac:dyDescent="0.2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 spans="1:27" x14ac:dyDescent="0.2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 spans="1:27" x14ac:dyDescent="0.2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 spans="1:27" x14ac:dyDescent="0.2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 spans="1:27" x14ac:dyDescent="0.2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 spans="1:27" x14ac:dyDescent="0.2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 spans="1:27" x14ac:dyDescent="0.2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 spans="1:27" x14ac:dyDescent="0.2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 spans="1:27" x14ac:dyDescent="0.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 spans="1:27" x14ac:dyDescent="0.2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 spans="1:27" x14ac:dyDescent="0.2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 spans="1:27" x14ac:dyDescent="0.2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 spans="1:27" x14ac:dyDescent="0.2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 spans="1:27" x14ac:dyDescent="0.2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 spans="1:27" x14ac:dyDescent="0.2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 spans="1:27" x14ac:dyDescent="0.2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 spans="1:27" x14ac:dyDescent="0.2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 spans="1:27" x14ac:dyDescent="0.2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 spans="1:27" x14ac:dyDescent="0.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 spans="1:27" x14ac:dyDescent="0.2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 spans="1:27" x14ac:dyDescent="0.2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 spans="1:27" x14ac:dyDescent="0.2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 spans="1:27" x14ac:dyDescent="0.2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 spans="1:27" x14ac:dyDescent="0.2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 spans="1:27" x14ac:dyDescent="0.2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 spans="1:27" x14ac:dyDescent="0.2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 spans="1:27" x14ac:dyDescent="0.2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 spans="1:27" x14ac:dyDescent="0.2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 spans="1:27" x14ac:dyDescent="0.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 spans="1:27" x14ac:dyDescent="0.2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 spans="1:27" x14ac:dyDescent="0.2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 spans="1:27" x14ac:dyDescent="0.2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 spans="1:27" x14ac:dyDescent="0.2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 spans="1:27" x14ac:dyDescent="0.2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 spans="1:27" x14ac:dyDescent="0.2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 spans="1:27" x14ac:dyDescent="0.2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 spans="1:27" x14ac:dyDescent="0.2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 spans="1:27" x14ac:dyDescent="0.2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 spans="1:27" x14ac:dyDescent="0.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 spans="1:27" x14ac:dyDescent="0.2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 spans="1:27" x14ac:dyDescent="0.2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 spans="1:27" x14ac:dyDescent="0.2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 spans="1:27" x14ac:dyDescent="0.2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 spans="1:27" x14ac:dyDescent="0.2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 spans="1:27" x14ac:dyDescent="0.2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 spans="1:27" x14ac:dyDescent="0.2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 spans="1:27" x14ac:dyDescent="0.2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 spans="1:27" x14ac:dyDescent="0.2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 spans="1:27" x14ac:dyDescent="0.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 spans="1:27" x14ac:dyDescent="0.2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 spans="1:27" x14ac:dyDescent="0.2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 spans="1:27" x14ac:dyDescent="0.2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 spans="1:27" x14ac:dyDescent="0.2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 spans="1:27" x14ac:dyDescent="0.2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 spans="1:27" x14ac:dyDescent="0.2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 spans="1:27" x14ac:dyDescent="0.2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 spans="1:27" x14ac:dyDescent="0.2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 spans="1:27" x14ac:dyDescent="0.2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 spans="1:27" x14ac:dyDescent="0.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 spans="1:27" x14ac:dyDescent="0.2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 spans="1:27" x14ac:dyDescent="0.2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 spans="1:27" x14ac:dyDescent="0.2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 spans="1:27" x14ac:dyDescent="0.2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 spans="1:27" x14ac:dyDescent="0.2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 spans="1:27" x14ac:dyDescent="0.2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 spans="1:27" x14ac:dyDescent="0.2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 spans="1:27" x14ac:dyDescent="0.2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 spans="1:27" x14ac:dyDescent="0.2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 spans="1:27" x14ac:dyDescent="0.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 spans="1:27" x14ac:dyDescent="0.2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 spans="1:27" x14ac:dyDescent="0.2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 spans="1:27" x14ac:dyDescent="0.2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 spans="1:27" x14ac:dyDescent="0.2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 spans="1:27" x14ac:dyDescent="0.2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 spans="1:27" x14ac:dyDescent="0.2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 spans="1:27" x14ac:dyDescent="0.2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 spans="1:27" x14ac:dyDescent="0.2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 spans="1:27" x14ac:dyDescent="0.2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 spans="1:27" x14ac:dyDescent="0.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 spans="1:27" x14ac:dyDescent="0.2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 spans="1:27" x14ac:dyDescent="0.2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 spans="1:27" x14ac:dyDescent="0.2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 spans="1:27" x14ac:dyDescent="0.2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 spans="1:27" x14ac:dyDescent="0.2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 spans="1:27" x14ac:dyDescent="0.2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 spans="1:27" x14ac:dyDescent="0.2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 spans="1:27" x14ac:dyDescent="0.2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 spans="1:27" x14ac:dyDescent="0.2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 spans="1:27" x14ac:dyDescent="0.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 spans="1:27" x14ac:dyDescent="0.2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 spans="1:27" x14ac:dyDescent="0.2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 spans="1:27" x14ac:dyDescent="0.2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 spans="1:27" x14ac:dyDescent="0.2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 spans="1:27" x14ac:dyDescent="0.2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 spans="1:27" x14ac:dyDescent="0.2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 spans="1:27" x14ac:dyDescent="0.2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 spans="1:27" x14ac:dyDescent="0.2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 spans="1:27" x14ac:dyDescent="0.2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 spans="1:27" x14ac:dyDescent="0.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 spans="1:27" x14ac:dyDescent="0.2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 spans="1:27" x14ac:dyDescent="0.2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 spans="1:27" x14ac:dyDescent="0.2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 spans="1:27" x14ac:dyDescent="0.2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 spans="1:27" x14ac:dyDescent="0.2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 spans="1:27" x14ac:dyDescent="0.2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 spans="1:27" x14ac:dyDescent="0.2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 spans="1:27" x14ac:dyDescent="0.2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 spans="1:27" x14ac:dyDescent="0.2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 spans="1:27" x14ac:dyDescent="0.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 spans="1:27" x14ac:dyDescent="0.2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 spans="1:27" x14ac:dyDescent="0.2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 spans="1:27" x14ac:dyDescent="0.2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 spans="1:27" x14ac:dyDescent="0.2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 spans="1:27" x14ac:dyDescent="0.2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 spans="1:27" x14ac:dyDescent="0.2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 spans="1:27" x14ac:dyDescent="0.2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 spans="1:27" x14ac:dyDescent="0.2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 spans="1:27" x14ac:dyDescent="0.2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 spans="1:27" x14ac:dyDescent="0.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 spans="1:27" x14ac:dyDescent="0.2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 spans="1:27" x14ac:dyDescent="0.2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 spans="1:27" x14ac:dyDescent="0.2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 spans="1:27" x14ac:dyDescent="0.2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 spans="1:27" x14ac:dyDescent="0.2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 spans="1:27" x14ac:dyDescent="0.2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 spans="1:27" x14ac:dyDescent="0.2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 spans="1:27" x14ac:dyDescent="0.2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 spans="1:27" x14ac:dyDescent="0.2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 spans="1:27" x14ac:dyDescent="0.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 spans="1:27" x14ac:dyDescent="0.2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 spans="1:27" x14ac:dyDescent="0.2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 spans="1:27" x14ac:dyDescent="0.2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 spans="1:27" x14ac:dyDescent="0.2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 spans="1:27" x14ac:dyDescent="0.2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 spans="1:27" x14ac:dyDescent="0.2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 spans="1:27" x14ac:dyDescent="0.2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 spans="1:27" x14ac:dyDescent="0.2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 spans="1:27" x14ac:dyDescent="0.2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 spans="1:27" x14ac:dyDescent="0.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 spans="1:27" x14ac:dyDescent="0.2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 spans="1:27" x14ac:dyDescent="0.2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 spans="1:27" x14ac:dyDescent="0.2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 spans="1:27" x14ac:dyDescent="0.2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 spans="1:27" x14ac:dyDescent="0.2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 spans="1:27" x14ac:dyDescent="0.2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 spans="1:27" x14ac:dyDescent="0.2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 spans="1:27" x14ac:dyDescent="0.2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 spans="1:27" x14ac:dyDescent="0.2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 spans="1:27" x14ac:dyDescent="0.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 spans="1:27" x14ac:dyDescent="0.2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 spans="1:27" x14ac:dyDescent="0.2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 spans="1:27" x14ac:dyDescent="0.2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 spans="1:27" x14ac:dyDescent="0.2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 spans="1:27" x14ac:dyDescent="0.2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 spans="1:27" x14ac:dyDescent="0.2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 spans="1:27" x14ac:dyDescent="0.2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 spans="1:27" x14ac:dyDescent="0.2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 spans="1:27" x14ac:dyDescent="0.2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 spans="1:27" x14ac:dyDescent="0.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 spans="1:27" x14ac:dyDescent="0.2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 spans="1:27" x14ac:dyDescent="0.2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 spans="1:27" x14ac:dyDescent="0.2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 spans="1:27" x14ac:dyDescent="0.2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 spans="1:27" x14ac:dyDescent="0.2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 spans="1:27" x14ac:dyDescent="0.2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 spans="1:27" x14ac:dyDescent="0.2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 spans="1:27" x14ac:dyDescent="0.2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 spans="1:27" x14ac:dyDescent="0.2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 spans="1:27" x14ac:dyDescent="0.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 spans="1:27" x14ac:dyDescent="0.2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 spans="1:27" x14ac:dyDescent="0.2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 spans="1:27" x14ac:dyDescent="0.2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 spans="1:27" x14ac:dyDescent="0.2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 spans="1:27" x14ac:dyDescent="0.2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 spans="1:27" x14ac:dyDescent="0.2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 spans="1:27" x14ac:dyDescent="0.2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 spans="1:27" x14ac:dyDescent="0.2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 spans="1:27" x14ac:dyDescent="0.2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 spans="1:27" x14ac:dyDescent="0.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 spans="1:27" x14ac:dyDescent="0.2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 spans="1:27" x14ac:dyDescent="0.2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 spans="1:27" x14ac:dyDescent="0.2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 spans="1:27" x14ac:dyDescent="0.2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 spans="1:27" x14ac:dyDescent="0.2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 spans="1:27" x14ac:dyDescent="0.2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 spans="1:27" x14ac:dyDescent="0.2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 spans="1:27" x14ac:dyDescent="0.2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 spans="1:27" x14ac:dyDescent="0.2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 spans="1:27" x14ac:dyDescent="0.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 spans="1:27" x14ac:dyDescent="0.2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 spans="1:27" x14ac:dyDescent="0.2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 spans="1:27" x14ac:dyDescent="0.2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 spans="1:27" x14ac:dyDescent="0.2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 spans="1:27" x14ac:dyDescent="0.2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 spans="1:27" x14ac:dyDescent="0.2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 spans="1:27" x14ac:dyDescent="0.2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 spans="1:27" x14ac:dyDescent="0.2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 spans="1:27" x14ac:dyDescent="0.2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 spans="1:27" x14ac:dyDescent="0.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 spans="1:27" x14ac:dyDescent="0.2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 spans="1:27" x14ac:dyDescent="0.2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 spans="1:27" x14ac:dyDescent="0.2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 spans="1:27" x14ac:dyDescent="0.2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 spans="1:27" x14ac:dyDescent="0.2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 spans="1:27" x14ac:dyDescent="0.2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 spans="1:27" x14ac:dyDescent="0.2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 spans="1:27" x14ac:dyDescent="0.2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 spans="1:27" x14ac:dyDescent="0.2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 spans="1:27" x14ac:dyDescent="0.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 spans="1:27" x14ac:dyDescent="0.2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 spans="1:27" x14ac:dyDescent="0.2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 spans="1:27" x14ac:dyDescent="0.2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 spans="1:27" x14ac:dyDescent="0.2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 spans="1:27" x14ac:dyDescent="0.2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 spans="1:27" x14ac:dyDescent="0.2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 spans="1:27" x14ac:dyDescent="0.2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 spans="1:27" x14ac:dyDescent="0.2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 spans="1:27" x14ac:dyDescent="0.2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 spans="1:27" x14ac:dyDescent="0.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 spans="1:27" x14ac:dyDescent="0.2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 spans="1:27" x14ac:dyDescent="0.2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 spans="1:27" x14ac:dyDescent="0.2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 spans="1:27" x14ac:dyDescent="0.2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 spans="1:27" x14ac:dyDescent="0.2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 spans="1:27" x14ac:dyDescent="0.2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 spans="1:27" x14ac:dyDescent="0.2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 spans="1:27" x14ac:dyDescent="0.2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 spans="1:27" x14ac:dyDescent="0.2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 spans="1:27" x14ac:dyDescent="0.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 spans="1:27" x14ac:dyDescent="0.2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 spans="1:27" x14ac:dyDescent="0.2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 spans="1:27" x14ac:dyDescent="0.2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 spans="1:27" x14ac:dyDescent="0.2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 spans="1:27" x14ac:dyDescent="0.2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 spans="1:27" x14ac:dyDescent="0.2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 spans="1:27" x14ac:dyDescent="0.2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 spans="1:27" x14ac:dyDescent="0.2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 spans="1:27" x14ac:dyDescent="0.2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 spans="1:27" x14ac:dyDescent="0.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 spans="1:27" x14ac:dyDescent="0.2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 spans="1:27" x14ac:dyDescent="0.2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 spans="1:27" x14ac:dyDescent="0.2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 spans="1:27" x14ac:dyDescent="0.2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 spans="1:27" x14ac:dyDescent="0.2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 spans="1:27" x14ac:dyDescent="0.2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 spans="1:27" x14ac:dyDescent="0.2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 spans="1:27" x14ac:dyDescent="0.2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 spans="1:27" x14ac:dyDescent="0.2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 spans="1:27" x14ac:dyDescent="0.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 spans="1:27" x14ac:dyDescent="0.2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 spans="1:27" x14ac:dyDescent="0.2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 spans="1:27" x14ac:dyDescent="0.2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 spans="1:27" x14ac:dyDescent="0.2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 spans="1:27" x14ac:dyDescent="0.2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 spans="1:27" x14ac:dyDescent="0.2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 spans="1:27" x14ac:dyDescent="0.2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 spans="1:27" x14ac:dyDescent="0.2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 spans="1:27" x14ac:dyDescent="0.2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 spans="1:27" x14ac:dyDescent="0.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 spans="1:27" x14ac:dyDescent="0.2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 spans="1:27" x14ac:dyDescent="0.2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 spans="1:27" x14ac:dyDescent="0.2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 spans="1:27" x14ac:dyDescent="0.2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 spans="1:27" x14ac:dyDescent="0.2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 spans="1:27" x14ac:dyDescent="0.2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 spans="1:27" x14ac:dyDescent="0.2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 spans="1:27" x14ac:dyDescent="0.2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 spans="1:27" x14ac:dyDescent="0.2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 spans="1:27" x14ac:dyDescent="0.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 spans="1:27" x14ac:dyDescent="0.2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 spans="1:27" x14ac:dyDescent="0.2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 spans="1:27" x14ac:dyDescent="0.2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 spans="1:27" x14ac:dyDescent="0.2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 spans="1:27" x14ac:dyDescent="0.2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 spans="1:27" x14ac:dyDescent="0.2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 spans="1:27" x14ac:dyDescent="0.2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 spans="1:27" x14ac:dyDescent="0.2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 spans="1:27" x14ac:dyDescent="0.2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 spans="1:27" x14ac:dyDescent="0.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 spans="1:27" x14ac:dyDescent="0.2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 spans="1:27" x14ac:dyDescent="0.2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 spans="1:27" x14ac:dyDescent="0.2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 spans="1:27" x14ac:dyDescent="0.2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 spans="1:27" x14ac:dyDescent="0.2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 spans="1:27" x14ac:dyDescent="0.2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 spans="1:27" x14ac:dyDescent="0.2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 spans="1:27" x14ac:dyDescent="0.2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 spans="1:27" x14ac:dyDescent="0.2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 spans="1:27" x14ac:dyDescent="0.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 spans="1:27" x14ac:dyDescent="0.2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 spans="1:27" x14ac:dyDescent="0.2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 spans="1:27" x14ac:dyDescent="0.2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 spans="1:27" x14ac:dyDescent="0.2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 spans="1:27" x14ac:dyDescent="0.2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 spans="1:27" x14ac:dyDescent="0.2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 spans="1:27" x14ac:dyDescent="0.2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 spans="1:27" x14ac:dyDescent="0.2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 spans="1:27" x14ac:dyDescent="0.2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 spans="1:27" x14ac:dyDescent="0.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 spans="1:27" x14ac:dyDescent="0.2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 spans="1:27" x14ac:dyDescent="0.2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 spans="1:27" x14ac:dyDescent="0.2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 spans="1:27" x14ac:dyDescent="0.2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 spans="1:27" x14ac:dyDescent="0.2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 spans="1:27" x14ac:dyDescent="0.2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 spans="1:27" x14ac:dyDescent="0.2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 spans="1:27" x14ac:dyDescent="0.2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 spans="1:27" x14ac:dyDescent="0.2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 spans="1:27" x14ac:dyDescent="0.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 spans="1:27" x14ac:dyDescent="0.2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 spans="1:27" x14ac:dyDescent="0.2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 spans="1:27" x14ac:dyDescent="0.2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 spans="1:27" x14ac:dyDescent="0.2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 spans="1:27" x14ac:dyDescent="0.2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 spans="1:27" x14ac:dyDescent="0.2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 spans="1:27" x14ac:dyDescent="0.2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 spans="1:27" x14ac:dyDescent="0.2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 spans="1:27" x14ac:dyDescent="0.2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 spans="1:27" x14ac:dyDescent="0.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 spans="1:27" x14ac:dyDescent="0.2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 spans="1:27" x14ac:dyDescent="0.2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 spans="1:27" x14ac:dyDescent="0.2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 spans="1:27" x14ac:dyDescent="0.2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 spans="1:27" x14ac:dyDescent="0.2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 spans="1:27" x14ac:dyDescent="0.2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 spans="1:27" x14ac:dyDescent="0.2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 spans="1:27" x14ac:dyDescent="0.2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 spans="1:27" x14ac:dyDescent="0.2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 spans="1:27" x14ac:dyDescent="0.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 spans="1:27" x14ac:dyDescent="0.2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 spans="1:27" x14ac:dyDescent="0.2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 spans="1:27" x14ac:dyDescent="0.2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 spans="1:27" x14ac:dyDescent="0.2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 spans="1:27" x14ac:dyDescent="0.2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 spans="1:27" x14ac:dyDescent="0.2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 spans="1:27" x14ac:dyDescent="0.2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 spans="1:27" x14ac:dyDescent="0.2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 spans="1:27" x14ac:dyDescent="0.2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 spans="1:27" x14ac:dyDescent="0.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 spans="1:27" x14ac:dyDescent="0.2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 spans="1:27" x14ac:dyDescent="0.2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 spans="1:27" x14ac:dyDescent="0.2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 spans="1:27" x14ac:dyDescent="0.2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 spans="1:27" x14ac:dyDescent="0.2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 spans="1:27" x14ac:dyDescent="0.2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 spans="1:27" x14ac:dyDescent="0.2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 spans="1:27" x14ac:dyDescent="0.2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 spans="1:27" x14ac:dyDescent="0.2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 spans="1:27" x14ac:dyDescent="0.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 spans="1:27" x14ac:dyDescent="0.2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 spans="1:27" x14ac:dyDescent="0.2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 spans="1:27" x14ac:dyDescent="0.2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 spans="1:27" x14ac:dyDescent="0.2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 spans="1:27" x14ac:dyDescent="0.2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 spans="1:27" x14ac:dyDescent="0.2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 spans="1:27" x14ac:dyDescent="0.2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 spans="1:27" x14ac:dyDescent="0.2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 spans="1:27" x14ac:dyDescent="0.2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 spans="1:27" x14ac:dyDescent="0.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 spans="1:27" x14ac:dyDescent="0.2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 spans="1:27" x14ac:dyDescent="0.2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 spans="1:27" x14ac:dyDescent="0.2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 spans="1:27" x14ac:dyDescent="0.2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 spans="1:27" x14ac:dyDescent="0.2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 spans="1:27" x14ac:dyDescent="0.2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 spans="1:27" x14ac:dyDescent="0.2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 spans="1:27" x14ac:dyDescent="0.2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 spans="1:27" x14ac:dyDescent="0.2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 spans="1:27" x14ac:dyDescent="0.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 spans="1:27" x14ac:dyDescent="0.2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 spans="1:27" x14ac:dyDescent="0.2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 spans="1:27" x14ac:dyDescent="0.2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 spans="1:27" x14ac:dyDescent="0.2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 spans="1:27" x14ac:dyDescent="0.2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 spans="1:27" x14ac:dyDescent="0.2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 spans="1:27" x14ac:dyDescent="0.2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 spans="1:27" x14ac:dyDescent="0.2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 spans="1:27" x14ac:dyDescent="0.2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 spans="1:27" x14ac:dyDescent="0.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 spans="1:27" x14ac:dyDescent="0.2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 spans="1:27" x14ac:dyDescent="0.2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 spans="1:27" x14ac:dyDescent="0.2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 spans="1:27" x14ac:dyDescent="0.2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 spans="1:27" x14ac:dyDescent="0.2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 spans="1:27" x14ac:dyDescent="0.2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 spans="1:27" x14ac:dyDescent="0.2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 spans="1:27" x14ac:dyDescent="0.2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 spans="1:27" x14ac:dyDescent="0.2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 spans="1:27" x14ac:dyDescent="0.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 spans="1:27" x14ac:dyDescent="0.2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 spans="1:27" x14ac:dyDescent="0.2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 spans="1:27" x14ac:dyDescent="0.2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 spans="1:27" x14ac:dyDescent="0.2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 spans="1:27" x14ac:dyDescent="0.2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 spans="1:27" x14ac:dyDescent="0.2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 spans="1:27" x14ac:dyDescent="0.2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 spans="1:27" x14ac:dyDescent="0.2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 spans="1:27" x14ac:dyDescent="0.2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 spans="1:27" x14ac:dyDescent="0.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 spans="1:27" x14ac:dyDescent="0.2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 spans="1:27" x14ac:dyDescent="0.2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 spans="1:27" x14ac:dyDescent="0.2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 spans="1:27" x14ac:dyDescent="0.2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 spans="1:27" x14ac:dyDescent="0.2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 spans="1:27" x14ac:dyDescent="0.2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 spans="1:27" x14ac:dyDescent="0.2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 spans="1:27" x14ac:dyDescent="0.2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 spans="1:27" x14ac:dyDescent="0.2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 spans="1:27" x14ac:dyDescent="0.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 spans="1:27" x14ac:dyDescent="0.2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 spans="1:27" x14ac:dyDescent="0.2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 spans="1:27" x14ac:dyDescent="0.2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 spans="1:27" x14ac:dyDescent="0.2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 spans="1:27" x14ac:dyDescent="0.2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 spans="1:27" x14ac:dyDescent="0.2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 spans="1:27" x14ac:dyDescent="0.2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 spans="1:27" x14ac:dyDescent="0.2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 spans="1:27" x14ac:dyDescent="0.2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 spans="1:27" x14ac:dyDescent="0.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 spans="1:27" x14ac:dyDescent="0.2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 spans="1:27" x14ac:dyDescent="0.2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 spans="1:27" x14ac:dyDescent="0.2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 spans="1:27" x14ac:dyDescent="0.2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 spans="1:27" x14ac:dyDescent="0.2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 spans="1:27" x14ac:dyDescent="0.2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 spans="1:27" x14ac:dyDescent="0.2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 spans="1:27" x14ac:dyDescent="0.2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 spans="1:27" x14ac:dyDescent="0.2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 spans="1:27" x14ac:dyDescent="0.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 spans="1:27" x14ac:dyDescent="0.2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 spans="1:27" x14ac:dyDescent="0.2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 spans="1:27" x14ac:dyDescent="0.2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 spans="1:27" x14ac:dyDescent="0.2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 spans="1:27" x14ac:dyDescent="0.2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 spans="1:27" x14ac:dyDescent="0.2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 spans="1:27" x14ac:dyDescent="0.2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 spans="1:27" x14ac:dyDescent="0.2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 spans="1:27" x14ac:dyDescent="0.2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 spans="1:27" x14ac:dyDescent="0.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 spans="1:27" x14ac:dyDescent="0.2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 spans="1:27" x14ac:dyDescent="0.2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 spans="1:27" x14ac:dyDescent="0.2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 spans="1:27" x14ac:dyDescent="0.2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 spans="1:27" x14ac:dyDescent="0.2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 spans="1:27" x14ac:dyDescent="0.2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 spans="1:27" x14ac:dyDescent="0.2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 spans="1:27" x14ac:dyDescent="0.2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 spans="1:27" x14ac:dyDescent="0.2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 spans="1:27" x14ac:dyDescent="0.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 spans="1:27" x14ac:dyDescent="0.2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 spans="1:27" x14ac:dyDescent="0.2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 spans="1:27" x14ac:dyDescent="0.2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 spans="1:27" x14ac:dyDescent="0.2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 spans="1:27" x14ac:dyDescent="0.2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 spans="1:27" x14ac:dyDescent="0.2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 spans="1:27" x14ac:dyDescent="0.2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  <row r="990" spans="1:27" x14ac:dyDescent="0.2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</row>
    <row r="991" spans="1:27" x14ac:dyDescent="0.2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</row>
    <row r="992" spans="1:27" x14ac:dyDescent="0.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</row>
    <row r="993" spans="1:27" x14ac:dyDescent="0.2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</sheetData>
  <conditionalFormatting sqref="F3:F5 I3:I5 L3:L5 F11:F13 I11:I13 L11:L13 F19:F21 I19:I21 L19:L21 I27:I29 L27:L29 N27:N29">
    <cfRule type="cellIs" dxfId="10" priority="1" operator="equal">
      <formula>"Raised"</formula>
    </cfRule>
    <cfRule type="cellIs" dxfId="9" priority="2" operator="equal">
      <formula>"Floor up"</formula>
    </cfRule>
    <cfRule type="cellIs" dxfId="8" priority="3" operator="equal">
      <formula>"Narrowed"</formula>
    </cfRule>
    <cfRule type="cellIs" dxfId="7" priority="4" operator="equal">
      <formula>"Unchanged"</formula>
    </cfRule>
    <cfRule type="cellIs" dxfId="6" priority="5" operator="equal">
      <formula>"Trimmed top"</formula>
    </cfRule>
    <cfRule type="cellIs" dxfId="5" priority="6" operator="equal">
      <formula>"Cut"</formula>
    </cfRule>
    <cfRule type="cellIs" dxfId="4" priority="7" operator="equal">
      <formula>"Mixed"</formula>
    </cfRule>
  </conditionalFormatting>
  <conditionalFormatting sqref="N3:N5 N11:N13 N19:N21 N27:N29">
    <cfRule type="cellIs" dxfId="3" priority="8" operator="equal">
      <formula>"Beat"</formula>
    </cfRule>
    <cfRule type="cellIs" dxfId="2" priority="9" operator="equal">
      <formula>"In range"</formula>
    </cfRule>
    <cfRule type="cellIs" dxfId="1" priority="10" operator="equal">
      <formula>"Missed"</formula>
    </cfRule>
  </conditionalFormatting>
  <conditionalFormatting sqref="N28 I28 L28">
    <cfRule type="notContainsBlanks" dxfId="0" priority="11">
      <formula>LEN(TRIM(I28))&gt;0</formula>
    </cfRule>
  </conditionalFormatting>
  <hyperlinks>
    <hyperlink ref="B7" r:id="rId1" xr:uid="{00000000-0004-0000-0400-000000000000}"/>
    <hyperlink ref="D7" r:id="rId2" xr:uid="{00000000-0004-0000-0400-000001000000}"/>
    <hyperlink ref="G7" r:id="rId3" xr:uid="{00000000-0004-0000-0400-000002000000}"/>
    <hyperlink ref="J7" r:id="rId4" xr:uid="{00000000-0004-0000-0400-000003000000}"/>
    <hyperlink ref="M7" r:id="rId5" xr:uid="{00000000-0004-0000-0400-000004000000}"/>
    <hyperlink ref="B15" r:id="rId6" xr:uid="{00000000-0004-0000-0400-000005000000}"/>
    <hyperlink ref="D15" r:id="rId7" xr:uid="{00000000-0004-0000-0400-000006000000}"/>
    <hyperlink ref="G15" r:id="rId8" xr:uid="{00000000-0004-0000-0400-000007000000}"/>
    <hyperlink ref="J15" r:id="rId9" xr:uid="{00000000-0004-0000-0400-000008000000}"/>
    <hyperlink ref="M15" r:id="rId10" xr:uid="{00000000-0004-0000-0400-000009000000}"/>
    <hyperlink ref="B23" r:id="rId11" xr:uid="{00000000-0004-0000-0400-00000A000000}"/>
    <hyperlink ref="D23" r:id="rId12" xr:uid="{00000000-0004-0000-0400-00000B000000}"/>
    <hyperlink ref="G23" r:id="rId13" xr:uid="{00000000-0004-0000-0400-00000C000000}"/>
    <hyperlink ref="J23" r:id="rId14" xr:uid="{00000000-0004-0000-0400-00000D000000}"/>
    <hyperlink ref="M23" r:id="rId15" xr:uid="{00000000-0004-0000-0400-00000E000000}"/>
    <hyperlink ref="B31" r:id="rId16" xr:uid="{00000000-0004-0000-0400-00000F000000}"/>
    <hyperlink ref="D31" r:id="rId17" xr:uid="{00000000-0004-0000-0400-000010000000}"/>
    <hyperlink ref="G31" r:id="rId18" xr:uid="{00000000-0004-0000-0400-000011000000}"/>
    <hyperlink ref="J31" r:id="rId19" xr:uid="{00000000-0004-0000-0400-000012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X1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7" sqref="J17"/>
    </sheetView>
  </sheetViews>
  <sheetFormatPr baseColWidth="10" defaultColWidth="14.3984375" defaultRowHeight="15.75" customHeight="1" x14ac:dyDescent="0.2"/>
  <sheetData>
    <row r="1" spans="1:24" x14ac:dyDescent="0.2">
      <c r="A1" s="1" t="s">
        <v>0</v>
      </c>
      <c r="B1" s="1" t="s">
        <v>4</v>
      </c>
      <c r="C1" s="1" t="s">
        <v>7</v>
      </c>
      <c r="D1" s="1" t="s">
        <v>9</v>
      </c>
      <c r="E1" s="1" t="s">
        <v>13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/>
      <c r="L1" s="1" t="s">
        <v>149</v>
      </c>
      <c r="M1" s="1" t="s">
        <v>150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">
      <c r="A2" s="5" t="s">
        <v>49</v>
      </c>
      <c r="B2" s="5" t="s">
        <v>34</v>
      </c>
      <c r="C2" s="6">
        <f>'Table B'!C19</f>
        <v>1884.9</v>
      </c>
      <c r="D2" s="6">
        <f>'Table B'!D19</f>
        <v>2292.8000000000002</v>
      </c>
      <c r="E2" s="6">
        <f>'Table B'!E19</f>
        <v>2466.5</v>
      </c>
      <c r="F2" s="6">
        <f>'Table B'!F19</f>
        <v>2598.5</v>
      </c>
      <c r="G2" s="6">
        <f>'Table B'!G19</f>
        <v>2948.9</v>
      </c>
      <c r="H2" s="6">
        <f>'Table B'!H19</f>
        <v>3412.0000000000005</v>
      </c>
      <c r="I2" s="6">
        <f>'Table B'!I19</f>
        <v>3752</v>
      </c>
      <c r="J2" s="6">
        <f>'Table B'!J19</f>
        <v>4079.7000000000003</v>
      </c>
    </row>
    <row r="3" spans="1:24" x14ac:dyDescent="0.2">
      <c r="A3" s="5" t="s">
        <v>62</v>
      </c>
      <c r="B3" s="5"/>
      <c r="C3" s="6">
        <f>'Table B'!C17</f>
        <v>397.7</v>
      </c>
      <c r="D3" s="6">
        <f>'Table B'!D17</f>
        <v>712.8</v>
      </c>
      <c r="E3" s="6">
        <f>'Table B'!E17</f>
        <v>716.1</v>
      </c>
      <c r="F3" s="6">
        <f>'Table B'!F17</f>
        <v>762.7</v>
      </c>
      <c r="G3" s="6">
        <f>'Table B'!G17</f>
        <v>855.2</v>
      </c>
      <c r="H3" s="6">
        <f>'Table B'!H17</f>
        <v>1025.5999999999999</v>
      </c>
      <c r="I3" s="6">
        <f>'Table B'!I17</f>
        <v>1120.3</v>
      </c>
      <c r="J3" s="6">
        <f>'Table B'!J17</f>
        <v>1230.4000000000001</v>
      </c>
    </row>
    <row r="4" spans="1:24" x14ac:dyDescent="0.2">
      <c r="A4" s="5" t="s">
        <v>159</v>
      </c>
      <c r="B4" s="5"/>
      <c r="C4" s="5">
        <v>59.4</v>
      </c>
      <c r="D4" s="5">
        <v>59.9</v>
      </c>
      <c r="E4" s="5">
        <v>59.2</v>
      </c>
      <c r="F4" s="5">
        <v>57.3</v>
      </c>
      <c r="G4" s="5">
        <v>71.3</v>
      </c>
      <c r="H4" s="5">
        <v>7.9</v>
      </c>
      <c r="I4" s="5">
        <v>71.400000000000006</v>
      </c>
      <c r="J4" s="5">
        <v>114.8</v>
      </c>
    </row>
    <row r="5" spans="1:24" x14ac:dyDescent="0.2">
      <c r="A5" s="5" t="s">
        <v>159</v>
      </c>
      <c r="B5" s="5"/>
      <c r="C5" s="5">
        <v>-25.5</v>
      </c>
      <c r="D5" s="5">
        <v>-32.4</v>
      </c>
      <c r="E5" s="5">
        <v>-2.5</v>
      </c>
      <c r="F5" s="5">
        <v>-6.5</v>
      </c>
      <c r="G5" s="5">
        <v>-7.1</v>
      </c>
      <c r="H5" s="5">
        <v>-5.5</v>
      </c>
      <c r="I5" s="5">
        <v>-97</v>
      </c>
      <c r="J5" s="5">
        <v>-94.2</v>
      </c>
    </row>
    <row r="6" spans="1:24" x14ac:dyDescent="0.2">
      <c r="A6" s="5" t="s">
        <v>161</v>
      </c>
      <c r="B6" s="5" t="s">
        <v>34</v>
      </c>
      <c r="C6" s="5"/>
      <c r="D6" s="5">
        <v>-15.7</v>
      </c>
      <c r="E6" s="5">
        <v>-0.2</v>
      </c>
      <c r="F6" s="5"/>
      <c r="G6" s="5"/>
      <c r="J6" s="5">
        <v>-2.6</v>
      </c>
      <c r="L6" s="5">
        <f t="shared" ref="L6:L11" si="0">COUNT(C6:J6)</f>
        <v>3</v>
      </c>
      <c r="M6" s="5" t="s">
        <v>163</v>
      </c>
    </row>
    <row r="7" spans="1:24" x14ac:dyDescent="0.2">
      <c r="A7" s="5" t="s">
        <v>164</v>
      </c>
      <c r="B7" s="5" t="s">
        <v>34</v>
      </c>
      <c r="C7" s="5">
        <v>44.8</v>
      </c>
      <c r="D7" s="5">
        <v>138.30000000000001</v>
      </c>
      <c r="E7" s="5">
        <v>77.400000000000006</v>
      </c>
      <c r="F7" s="5"/>
      <c r="G7" s="5">
        <v>3.5</v>
      </c>
      <c r="H7" s="5">
        <v>8.6999999999999993</v>
      </c>
      <c r="I7" s="5">
        <v>5.4</v>
      </c>
      <c r="J7" s="5">
        <v>0.1</v>
      </c>
      <c r="L7" s="5">
        <f t="shared" si="0"/>
        <v>7</v>
      </c>
      <c r="M7" s="5" t="s">
        <v>165</v>
      </c>
    </row>
    <row r="8" spans="1:24" x14ac:dyDescent="0.2">
      <c r="A8" s="5" t="s">
        <v>166</v>
      </c>
      <c r="B8" s="5"/>
      <c r="C8" s="5"/>
      <c r="D8" s="5"/>
      <c r="E8" s="5">
        <v>25.4</v>
      </c>
      <c r="F8" s="5">
        <v>2.9</v>
      </c>
      <c r="L8" s="5">
        <f t="shared" si="0"/>
        <v>2</v>
      </c>
      <c r="M8" s="5" t="s">
        <v>163</v>
      </c>
    </row>
    <row r="9" spans="1:24" x14ac:dyDescent="0.2">
      <c r="A9" s="5" t="s">
        <v>167</v>
      </c>
      <c r="B9" s="5"/>
      <c r="C9" s="5">
        <v>33.299999999999997</v>
      </c>
      <c r="D9" s="5"/>
      <c r="E9" s="5"/>
      <c r="F9" s="5"/>
      <c r="G9" s="5"/>
      <c r="H9" s="5"/>
      <c r="I9" s="5"/>
      <c r="J9" s="5"/>
      <c r="L9" s="5">
        <f t="shared" si="0"/>
        <v>1</v>
      </c>
      <c r="M9" s="5" t="s">
        <v>163</v>
      </c>
    </row>
    <row r="10" spans="1:24" x14ac:dyDescent="0.2">
      <c r="A10" s="5" t="s">
        <v>168</v>
      </c>
      <c r="B10" s="5" t="s">
        <v>34</v>
      </c>
      <c r="C10" s="5"/>
      <c r="D10" s="5"/>
      <c r="E10" s="5">
        <v>25</v>
      </c>
      <c r="F10" s="5">
        <v>-3.7</v>
      </c>
      <c r="G10" s="5"/>
      <c r="H10" s="5">
        <v>1.2</v>
      </c>
      <c r="I10" s="5">
        <v>-4</v>
      </c>
      <c r="J10" s="5">
        <v>-0.4</v>
      </c>
      <c r="L10" s="5">
        <f t="shared" si="0"/>
        <v>5</v>
      </c>
      <c r="M10" s="5" t="s">
        <v>165</v>
      </c>
    </row>
    <row r="11" spans="1:24" x14ac:dyDescent="0.2">
      <c r="A11" s="5" t="s">
        <v>169</v>
      </c>
      <c r="B11" s="5" t="s">
        <v>34</v>
      </c>
      <c r="C11" s="5"/>
      <c r="D11" s="5"/>
      <c r="E11" s="5"/>
      <c r="F11" s="5"/>
      <c r="G11" s="5"/>
      <c r="H11" s="5"/>
      <c r="I11" s="5">
        <v>42</v>
      </c>
      <c r="J11" s="5">
        <v>19.3</v>
      </c>
      <c r="L11" s="5">
        <f t="shared" si="0"/>
        <v>2</v>
      </c>
      <c r="M11" s="5" t="s">
        <v>163</v>
      </c>
    </row>
    <row r="13" spans="1:24" x14ac:dyDescent="0.2">
      <c r="A13" s="1" t="s">
        <v>170</v>
      </c>
      <c r="C13" s="6">
        <f t="shared" ref="C13:J13" si="1">SUM(C2:C11)</f>
        <v>2394.6000000000004</v>
      </c>
      <c r="D13" s="6">
        <f t="shared" si="1"/>
        <v>3155.7000000000007</v>
      </c>
      <c r="E13" s="6">
        <f t="shared" si="1"/>
        <v>3366.9</v>
      </c>
      <c r="F13" s="6">
        <f t="shared" si="1"/>
        <v>3411.2000000000003</v>
      </c>
      <c r="G13" s="6">
        <f t="shared" si="1"/>
        <v>3871.8000000000006</v>
      </c>
      <c r="H13" s="6">
        <f t="shared" si="1"/>
        <v>4449.8999999999996</v>
      </c>
      <c r="I13" s="6">
        <f t="shared" si="1"/>
        <v>4890.0999999999995</v>
      </c>
      <c r="J13" s="6">
        <f t="shared" si="1"/>
        <v>5347.1000000000013</v>
      </c>
    </row>
    <row r="14" spans="1:24" x14ac:dyDescent="0.2">
      <c r="A14" s="1" t="s">
        <v>171</v>
      </c>
      <c r="J14" s="11">
        <f>J13/'Table B'!J3</f>
        <v>0.26006157318016238</v>
      </c>
    </row>
    <row r="15" spans="1:24" x14ac:dyDescent="0.2">
      <c r="A15" s="1" t="s">
        <v>173</v>
      </c>
      <c r="J15" s="6">
        <f>J2+J3+J4+J5+J6+J11</f>
        <v>5347.4000000000005</v>
      </c>
    </row>
    <row r="16" spans="1:24" x14ac:dyDescent="0.2">
      <c r="A16" s="1" t="s">
        <v>177</v>
      </c>
      <c r="J16" s="11">
        <f>J15/'Table B'!J3</f>
        <v>0.26007616398114869</v>
      </c>
    </row>
    <row r="18" spans="1:2" x14ac:dyDescent="0.2">
      <c r="A18" s="1" t="s">
        <v>21</v>
      </c>
      <c r="B18" s="5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C13"/>
  <sheetViews>
    <sheetView workbookViewId="0"/>
  </sheetViews>
  <sheetFormatPr baseColWidth="10" defaultColWidth="14.3984375" defaultRowHeight="15.75" customHeight="1" x14ac:dyDescent="0.2"/>
  <sheetData>
    <row r="1" spans="1:3" x14ac:dyDescent="0.2">
      <c r="A1" s="1" t="s">
        <v>200</v>
      </c>
      <c r="B1" s="1" t="s">
        <v>201</v>
      </c>
      <c r="C1" s="1" t="s">
        <v>202</v>
      </c>
    </row>
    <row r="2" spans="1:3" x14ac:dyDescent="0.2">
      <c r="A2" s="5" t="s">
        <v>53</v>
      </c>
      <c r="B2" s="6">
        <f>SUM('Table B'!C33:J33)</f>
        <v>27727.399999999998</v>
      </c>
      <c r="C2" s="11">
        <f t="shared" ref="C2:C11" si="0">B2/$B$2</f>
        <v>1</v>
      </c>
    </row>
    <row r="3" spans="1:3" x14ac:dyDescent="0.2">
      <c r="A3" s="5" t="s">
        <v>203</v>
      </c>
      <c r="B3" s="6">
        <f>SUM('Table B'!C34:J34)</f>
        <v>1477.2</v>
      </c>
      <c r="C3" s="11">
        <f t="shared" si="0"/>
        <v>5.3275821029018233E-2</v>
      </c>
    </row>
    <row r="4" spans="1:3" x14ac:dyDescent="0.2">
      <c r="A4" s="5" t="s">
        <v>204</v>
      </c>
      <c r="B4" s="6">
        <f>SUM('Table B'!C35:J35)</f>
        <v>2917.8</v>
      </c>
      <c r="C4" s="11">
        <f t="shared" si="0"/>
        <v>0.10523164811702505</v>
      </c>
    </row>
    <row r="5" spans="1:3" x14ac:dyDescent="0.2">
      <c r="A5" s="1" t="s">
        <v>205</v>
      </c>
      <c r="B5" s="38">
        <f>B2-B3-B4</f>
        <v>23332.399999999998</v>
      </c>
      <c r="C5" s="39">
        <f t="shared" si="0"/>
        <v>0.8414925308539567</v>
      </c>
    </row>
    <row r="6" spans="1:3" x14ac:dyDescent="0.2">
      <c r="A6" s="5" t="s">
        <v>206</v>
      </c>
      <c r="B6" s="6">
        <f>SUM('Table B'!C36:J36)</f>
        <v>1980.6999999999998</v>
      </c>
      <c r="C6" s="11">
        <f t="shared" si="0"/>
        <v>7.1434754069981315E-2</v>
      </c>
    </row>
    <row r="7" spans="1:3" x14ac:dyDescent="0.2">
      <c r="A7" s="5" t="s">
        <v>207</v>
      </c>
      <c r="B7" s="6">
        <f>SUM('Table B'!C37:J37)</f>
        <v>9908.6</v>
      </c>
      <c r="C7" s="11">
        <f t="shared" si="0"/>
        <v>0.35735770393185085</v>
      </c>
    </row>
    <row r="8" spans="1:3" x14ac:dyDescent="0.2">
      <c r="A8" s="5" t="s">
        <v>208</v>
      </c>
      <c r="B8" s="6">
        <f>SUM('Table B'!C38:J38)</f>
        <v>13547.3</v>
      </c>
      <c r="C8" s="11">
        <f t="shared" si="0"/>
        <v>0.48858890483781386</v>
      </c>
    </row>
    <row r="9" spans="1:3" x14ac:dyDescent="0.2">
      <c r="A9" s="5" t="s">
        <v>209</v>
      </c>
      <c r="B9" s="6">
        <f>SUM('Table B'!C39:J39)-SUM('Table B'!C40:J40)</f>
        <v>1831.9</v>
      </c>
      <c r="C9" s="11">
        <f t="shared" si="0"/>
        <v>6.6068221326197205E-2</v>
      </c>
    </row>
    <row r="10" spans="1:3" x14ac:dyDescent="0.2">
      <c r="A10" s="1" t="s">
        <v>210</v>
      </c>
      <c r="B10" s="38">
        <f>SUM(B6:B9)</f>
        <v>27268.5</v>
      </c>
      <c r="C10" s="39">
        <f t="shared" si="0"/>
        <v>0.98344958416584327</v>
      </c>
    </row>
    <row r="11" spans="1:3" x14ac:dyDescent="0.2">
      <c r="A11" s="40" t="s">
        <v>211</v>
      </c>
      <c r="B11" s="41">
        <f>B2-B10</f>
        <v>458.89999999999782</v>
      </c>
      <c r="C11" s="42">
        <f t="shared" si="0"/>
        <v>1.6550415834156749E-2</v>
      </c>
    </row>
    <row r="13" spans="1:3" x14ac:dyDescent="0.2">
      <c r="A1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X2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baseColWidth="10" defaultColWidth="14.3984375" defaultRowHeight="15.75" customHeight="1" x14ac:dyDescent="0.2"/>
  <sheetData>
    <row r="1" spans="1:24" x14ac:dyDescent="0.2">
      <c r="A1" s="1" t="s">
        <v>0</v>
      </c>
      <c r="B1" s="1" t="s">
        <v>4</v>
      </c>
      <c r="C1" s="1" t="s">
        <v>7</v>
      </c>
      <c r="D1" s="1" t="s">
        <v>9</v>
      </c>
      <c r="E1" s="1" t="s">
        <v>13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/>
      <c r="L1" s="1" t="s">
        <v>21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">
      <c r="A2" s="5" t="s">
        <v>219</v>
      </c>
      <c r="B2" s="5" t="s">
        <v>34</v>
      </c>
      <c r="C2" s="6">
        <f>'Table B'!C37</f>
        <v>989.3</v>
      </c>
      <c r="D2" s="6">
        <f>'Table B'!D37</f>
        <v>937.7</v>
      </c>
      <c r="E2" s="6">
        <f>'Table B'!E37</f>
        <v>1006.3</v>
      </c>
      <c r="F2" s="6">
        <f>'Table B'!F37</f>
        <v>1372.3</v>
      </c>
      <c r="G2" s="6">
        <f>'Table B'!G37</f>
        <v>1969.4</v>
      </c>
      <c r="H2" s="6">
        <f>'Table B'!H37</f>
        <v>1121.4000000000001</v>
      </c>
      <c r="I2" s="6">
        <f>'Table B'!I37</f>
        <v>1231.7</v>
      </c>
      <c r="J2" s="6">
        <f>'Table B'!J37</f>
        <v>1280.5</v>
      </c>
      <c r="L2" s="5" t="s">
        <v>226</v>
      </c>
    </row>
    <row r="3" spans="1:24" x14ac:dyDescent="0.2">
      <c r="A3" s="5" t="s">
        <v>227</v>
      </c>
      <c r="B3" s="5" t="s">
        <v>66</v>
      </c>
      <c r="C3" s="5">
        <v>8.5</v>
      </c>
      <c r="D3" s="5">
        <v>6.5</v>
      </c>
      <c r="E3" s="5">
        <v>6.2</v>
      </c>
      <c r="F3" s="5">
        <v>8.1999999999999993</v>
      </c>
      <c r="G3" s="5">
        <v>9.1999999999999993</v>
      </c>
      <c r="H3" s="5">
        <v>4.9000000000000004</v>
      </c>
      <c r="I3" s="5">
        <v>5.0999999999999996</v>
      </c>
      <c r="J3" s="5">
        <v>4.4000000000000004</v>
      </c>
      <c r="L3" s="5" t="s">
        <v>226</v>
      </c>
    </row>
    <row r="4" spans="1:24" x14ac:dyDescent="0.2">
      <c r="A4" s="5" t="s">
        <v>228</v>
      </c>
      <c r="B4" s="5" t="s">
        <v>106</v>
      </c>
      <c r="C4" s="5">
        <v>141.52000000000001</v>
      </c>
      <c r="D4" s="5">
        <v>170.43</v>
      </c>
      <c r="E4" s="5">
        <v>181.32</v>
      </c>
      <c r="F4" s="5">
        <v>200.39</v>
      </c>
      <c r="G4" s="5">
        <v>248.76</v>
      </c>
      <c r="H4" s="5">
        <v>272.38</v>
      </c>
      <c r="I4" s="5">
        <v>256.83999999999997</v>
      </c>
      <c r="J4" s="5">
        <v>329.85</v>
      </c>
      <c r="L4" s="29" t="s">
        <v>230</v>
      </c>
    </row>
    <row r="5" spans="1:24" x14ac:dyDescent="0.2">
      <c r="A5" s="5" t="s">
        <v>232</v>
      </c>
      <c r="B5" s="5" t="s">
        <v>106</v>
      </c>
      <c r="C5" s="5">
        <v>100.51</v>
      </c>
      <c r="D5" s="5">
        <v>121.51</v>
      </c>
      <c r="E5" s="5">
        <v>103.32</v>
      </c>
      <c r="F5" s="5">
        <v>127.31</v>
      </c>
      <c r="G5" s="5">
        <v>192.37</v>
      </c>
      <c r="H5" s="5">
        <v>201.46</v>
      </c>
      <c r="I5" s="5">
        <v>205.53</v>
      </c>
      <c r="J5" s="5">
        <v>231.27</v>
      </c>
      <c r="L5" s="29" t="s">
        <v>230</v>
      </c>
    </row>
    <row r="7" spans="1:24" x14ac:dyDescent="0.2">
      <c r="A7" s="1" t="s">
        <v>235</v>
      </c>
    </row>
    <row r="8" spans="1:24" x14ac:dyDescent="0.2">
      <c r="A8" s="5" t="s">
        <v>236</v>
      </c>
      <c r="B8" s="5" t="s">
        <v>106</v>
      </c>
      <c r="C8" s="22">
        <f t="shared" ref="C8:J8" si="0">IFERROR(C2/C3,"")</f>
        <v>116.38823529411764</v>
      </c>
      <c r="D8" s="22">
        <f t="shared" si="0"/>
        <v>144.26153846153846</v>
      </c>
      <c r="E8" s="22">
        <f t="shared" si="0"/>
        <v>162.3064516129032</v>
      </c>
      <c r="F8" s="22">
        <f t="shared" si="0"/>
        <v>167.35365853658539</v>
      </c>
      <c r="G8" s="22">
        <f t="shared" si="0"/>
        <v>214.06521739130437</v>
      </c>
      <c r="H8" s="22">
        <f t="shared" si="0"/>
        <v>228.85714285714286</v>
      </c>
      <c r="I8" s="22">
        <f t="shared" si="0"/>
        <v>241.50980392156865</v>
      </c>
      <c r="J8" s="22">
        <f t="shared" si="0"/>
        <v>291.02272727272725</v>
      </c>
    </row>
    <row r="9" spans="1:24" x14ac:dyDescent="0.2">
      <c r="A9" s="5" t="s">
        <v>240</v>
      </c>
      <c r="B9" s="5" t="s">
        <v>38</v>
      </c>
      <c r="C9" s="11">
        <f t="shared" ref="C9:J9" si="1">IFERROR((C8-C5)/(C4-C5),"")</f>
        <v>0.38717959751567005</v>
      </c>
      <c r="D9" s="11">
        <f t="shared" si="1"/>
        <v>0.4650764199006226</v>
      </c>
      <c r="E9" s="11">
        <f t="shared" si="1"/>
        <v>0.75623655913978471</v>
      </c>
      <c r="F9" s="11">
        <f t="shared" si="1"/>
        <v>0.54794278238348926</v>
      </c>
      <c r="G9" s="11">
        <f t="shared" si="1"/>
        <v>0.3847351904824326</v>
      </c>
      <c r="H9" s="11">
        <f t="shared" si="1"/>
        <v>0.38631053098058177</v>
      </c>
      <c r="I9" s="11">
        <f t="shared" si="1"/>
        <v>0.70122400938547391</v>
      </c>
      <c r="J9" s="11">
        <f t="shared" si="1"/>
        <v>0.60613438093657168</v>
      </c>
    </row>
    <row r="10" spans="1:24" x14ac:dyDescent="0.2">
      <c r="A10" s="5" t="s">
        <v>105</v>
      </c>
      <c r="B10" s="5" t="s">
        <v>106</v>
      </c>
      <c r="C10" s="22">
        <f>'Table B'!C44/'Table B'!C20</f>
        <v>4.6117753214527406</v>
      </c>
      <c r="D10" s="22">
        <f>'Table B'!D44/'Table B'!D20</f>
        <v>4.8487202925045709</v>
      </c>
      <c r="E10" s="22">
        <f>'Table B'!E44/'Table B'!E20</f>
        <v>5.5692165472613828</v>
      </c>
      <c r="F10" s="22">
        <f>'Table B'!F44/'Table B'!F20</f>
        <v>6.0439149731371176</v>
      </c>
      <c r="G10" s="22">
        <f>'Table B'!G44/'Table B'!G20</f>
        <v>6.0463072904298265</v>
      </c>
      <c r="H10" s="22">
        <f>'Table B'!H44/'Table B'!H20</f>
        <v>8.7466923261967775</v>
      </c>
      <c r="I10" s="22">
        <f>'Table B'!I44/'Table B'!I20</f>
        <v>8.7195536147501223</v>
      </c>
      <c r="J10" s="22">
        <f>'Table B'!J44/'Table B'!J20</f>
        <v>10.747981404453144</v>
      </c>
    </row>
    <row r="11" spans="1:24" x14ac:dyDescent="0.2">
      <c r="A11" s="5" t="s">
        <v>247</v>
      </c>
      <c r="B11" s="5" t="s">
        <v>38</v>
      </c>
      <c r="C11" s="11">
        <f t="shared" ref="C11:J11" si="2">IFERROR(C10/C8,"")</f>
        <v>3.9624067757351965E-2</v>
      </c>
      <c r="D11" s="11">
        <f t="shared" si="2"/>
        <v>3.361062376162921E-2</v>
      </c>
      <c r="E11" s="11">
        <f t="shared" si="2"/>
        <v>3.4312970876498636E-2</v>
      </c>
      <c r="F11" s="11">
        <f t="shared" si="2"/>
        <v>3.6114627107574404E-2</v>
      </c>
      <c r="G11" s="11">
        <f t="shared" si="2"/>
        <v>2.8245164553648013E-2</v>
      </c>
      <c r="H11" s="11">
        <f t="shared" si="2"/>
        <v>3.8219005170647594E-2</v>
      </c>
      <c r="I11" s="11">
        <f t="shared" si="2"/>
        <v>3.6104346379171565E-2</v>
      </c>
      <c r="J11" s="11">
        <f t="shared" si="2"/>
        <v>3.6931759609210336E-2</v>
      </c>
    </row>
    <row r="12" spans="1:24" x14ac:dyDescent="0.2">
      <c r="A12" s="5" t="s">
        <v>250</v>
      </c>
      <c r="B12" s="5" t="s">
        <v>38</v>
      </c>
      <c r="C12" s="11">
        <f>IFERROR(C3/'Table B'!C20,"")</f>
        <v>1.9174374013083691E-2</v>
      </c>
      <c r="D12" s="11">
        <f>IFERROR(D3/'Table B'!D20,"")</f>
        <v>1.4853747714808043E-2</v>
      </c>
      <c r="E12" s="11">
        <f>IFERROR(E3/'Table B'!E20,"")</f>
        <v>1.4328634157614976E-2</v>
      </c>
      <c r="F12" s="11">
        <f>IFERROR(F3/'Table B'!F20,"")</f>
        <v>1.9154403176827841E-2</v>
      </c>
      <c r="G12" s="11">
        <f>IFERROR(G3/'Table B'!G20,"")</f>
        <v>2.1847542151507953E-2</v>
      </c>
      <c r="H12" s="11">
        <f>IFERROR(H3/'Table B'!H20,"")</f>
        <v>1.1787346644214578E-2</v>
      </c>
      <c r="I12" s="11">
        <f>IFERROR(I3/'Table B'!I20,"")</f>
        <v>1.2372634643377001E-2</v>
      </c>
      <c r="J12" s="11">
        <f>IFERROR(J3/'Table B'!J20,"")</f>
        <v>1.0765842916564719E-2</v>
      </c>
    </row>
    <row r="14" spans="1:24" x14ac:dyDescent="0.2">
      <c r="A14" s="1" t="s">
        <v>257</v>
      </c>
    </row>
    <row r="15" spans="1:24" x14ac:dyDescent="0.2">
      <c r="A15" s="5" t="s">
        <v>258</v>
      </c>
      <c r="B15" s="5" t="s">
        <v>106</v>
      </c>
      <c r="C15" s="5">
        <v>225.31</v>
      </c>
      <c r="E15" s="5" t="s">
        <v>259</v>
      </c>
      <c r="F15" s="29" t="s">
        <v>252</v>
      </c>
    </row>
    <row r="16" spans="1:24" x14ac:dyDescent="0.2">
      <c r="A16" s="5" t="s">
        <v>264</v>
      </c>
      <c r="B16" s="5" t="s">
        <v>106</v>
      </c>
      <c r="C16" s="22">
        <f>'Table H'!D71</f>
        <v>0</v>
      </c>
    </row>
    <row r="18" spans="1:10" x14ac:dyDescent="0.2">
      <c r="A18" s="5" t="s">
        <v>265</v>
      </c>
      <c r="B18" s="5" t="s">
        <v>38</v>
      </c>
      <c r="C18" s="11">
        <f t="shared" ref="C18:J18" si="3">IFERROR(C8/$C$15-1,"")</f>
        <v>-0.48343067198918099</v>
      </c>
      <c r="D18" s="11">
        <f t="shared" si="3"/>
        <v>-0.35971977070907435</v>
      </c>
      <c r="E18" s="11">
        <f t="shared" si="3"/>
        <v>-0.27963050191778793</v>
      </c>
      <c r="F18" s="11">
        <f t="shared" si="3"/>
        <v>-0.25722933497587597</v>
      </c>
      <c r="G18" s="11">
        <f t="shared" si="3"/>
        <v>-4.9908049392817122E-2</v>
      </c>
      <c r="H18" s="11">
        <f t="shared" si="3"/>
        <v>1.5743388474292574E-2</v>
      </c>
      <c r="I18" s="11">
        <f t="shared" si="3"/>
        <v>7.1900066226836978E-2</v>
      </c>
      <c r="J18" s="11">
        <f t="shared" si="3"/>
        <v>0.29165473025044264</v>
      </c>
    </row>
    <row r="19" spans="1:10" x14ac:dyDescent="0.2">
      <c r="A19" s="5" t="s">
        <v>271</v>
      </c>
      <c r="B19" s="5" t="s">
        <v>38</v>
      </c>
      <c r="C19" s="11" t="str">
        <f t="shared" ref="C19:J19" si="4">IFERROR(IF($C$16=0,"",C8/$C$16-1),"")</f>
        <v/>
      </c>
      <c r="D19" s="11" t="str">
        <f t="shared" si="4"/>
        <v/>
      </c>
      <c r="E19" s="11" t="str">
        <f t="shared" si="4"/>
        <v/>
      </c>
      <c r="F19" s="11" t="str">
        <f t="shared" si="4"/>
        <v/>
      </c>
      <c r="G19" s="11" t="str">
        <f t="shared" si="4"/>
        <v/>
      </c>
      <c r="H19" s="11" t="str">
        <f t="shared" si="4"/>
        <v/>
      </c>
      <c r="I19" s="11" t="str">
        <f t="shared" si="4"/>
        <v/>
      </c>
      <c r="J19" s="11" t="str">
        <f t="shared" si="4"/>
        <v/>
      </c>
    </row>
    <row r="20" spans="1:10" x14ac:dyDescent="0.2">
      <c r="A20" s="5" t="s">
        <v>272</v>
      </c>
      <c r="B20" s="5" t="s">
        <v>34</v>
      </c>
      <c r="C20" s="22" t="str">
        <f t="shared" ref="C20:J20" si="5">IFERROR(IF($C$16=0,"",C2*($C$16/C8-1)),"")</f>
        <v/>
      </c>
      <c r="D20" s="22" t="str">
        <f t="shared" si="5"/>
        <v/>
      </c>
      <c r="E20" s="22" t="str">
        <f t="shared" si="5"/>
        <v/>
      </c>
      <c r="F20" s="22" t="str">
        <f t="shared" si="5"/>
        <v/>
      </c>
      <c r="G20" s="22" t="str">
        <f t="shared" si="5"/>
        <v/>
      </c>
      <c r="H20" s="22" t="str">
        <f t="shared" si="5"/>
        <v/>
      </c>
      <c r="I20" s="22" t="str">
        <f t="shared" si="5"/>
        <v/>
      </c>
      <c r="J20" s="22" t="str">
        <f t="shared" si="5"/>
        <v/>
      </c>
    </row>
    <row r="22" spans="1:10" x14ac:dyDescent="0.2">
      <c r="A22" s="1" t="s">
        <v>273</v>
      </c>
    </row>
    <row r="23" spans="1:10" x14ac:dyDescent="0.2">
      <c r="A23" s="5" t="s">
        <v>274</v>
      </c>
      <c r="B23" s="5" t="s">
        <v>34</v>
      </c>
      <c r="C23" s="6">
        <f t="shared" ref="C23:C24" si="6">SUM(C2:J2)</f>
        <v>9908.6</v>
      </c>
    </row>
    <row r="24" spans="1:10" x14ac:dyDescent="0.2">
      <c r="A24" s="5" t="s">
        <v>275</v>
      </c>
      <c r="B24" s="5" t="s">
        <v>66</v>
      </c>
      <c r="C24" s="5">
        <f t="shared" si="6"/>
        <v>52.999999999999993</v>
      </c>
    </row>
    <row r="25" spans="1:10" x14ac:dyDescent="0.2">
      <c r="A25" s="5" t="s">
        <v>276</v>
      </c>
      <c r="B25" s="5" t="s">
        <v>106</v>
      </c>
      <c r="C25" s="22">
        <f>IFERROR(C23/C24,"")</f>
        <v>186.95471698113209</v>
      </c>
    </row>
    <row r="26" spans="1:10" x14ac:dyDescent="0.2">
      <c r="A26" s="5" t="s">
        <v>277</v>
      </c>
      <c r="B26" s="5" t="s">
        <v>38</v>
      </c>
      <c r="C26" s="11">
        <f>IFERROR(C25/C15-1,"")</f>
        <v>-0.17023338075925576</v>
      </c>
    </row>
    <row r="27" spans="1:10" x14ac:dyDescent="0.2">
      <c r="A27" s="5" t="s">
        <v>278</v>
      </c>
      <c r="B27" s="5" t="s">
        <v>279</v>
      </c>
      <c r="C27" s="5">
        <f>COUNTIF(C9:J9,"&lt;0,50")</f>
        <v>4</v>
      </c>
    </row>
    <row r="28" spans="1:10" x14ac:dyDescent="0.2">
      <c r="A28" s="5" t="s">
        <v>280</v>
      </c>
      <c r="B28" s="5" t="s">
        <v>34</v>
      </c>
      <c r="C28" s="20">
        <f>IFERROR(SUM(C20:J20),"")</f>
        <v>0</v>
      </c>
    </row>
  </sheetData>
  <hyperlinks>
    <hyperlink ref="L4" r:id="rId1" xr:uid="{00000000-0004-0000-0700-000000000000}"/>
    <hyperlink ref="L5" r:id="rId2" xr:uid="{00000000-0004-0000-0700-000001000000}"/>
    <hyperlink ref="F15" r:id="rId3" xr:uid="{00000000-0004-0000-0700-000002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005"/>
  <sheetViews>
    <sheetView tabSelected="1" workbookViewId="0">
      <selection activeCell="H12" sqref="H12"/>
    </sheetView>
  </sheetViews>
  <sheetFormatPr baseColWidth="10" defaultColWidth="14.3984375" defaultRowHeight="15.75" customHeight="1" x14ac:dyDescent="0.2"/>
  <cols>
    <col min="1" max="1" width="44" customWidth="1"/>
    <col min="2" max="4" width="14" customWidth="1"/>
    <col min="5" max="5" width="62" customWidth="1"/>
    <col min="6" max="26" width="8.796875" customWidth="1"/>
  </cols>
  <sheetData>
    <row r="1" spans="1:5" x14ac:dyDescent="0.2">
      <c r="B1" s="1" t="s">
        <v>217</v>
      </c>
      <c r="C1" s="1" t="s">
        <v>146</v>
      </c>
      <c r="D1" s="1" t="s">
        <v>218</v>
      </c>
      <c r="E1" s="44"/>
    </row>
    <row r="2" spans="1:5" x14ac:dyDescent="0.2">
      <c r="A2" s="1" t="s">
        <v>220</v>
      </c>
      <c r="B2" s="5">
        <v>0.81</v>
      </c>
      <c r="C2" s="29" t="s">
        <v>221</v>
      </c>
      <c r="D2" s="5" t="s">
        <v>222</v>
      </c>
      <c r="E2" s="44"/>
    </row>
    <row r="3" spans="1:5" x14ac:dyDescent="0.2">
      <c r="A3" s="1" t="s">
        <v>223</v>
      </c>
      <c r="B3" s="45">
        <f>90060</f>
        <v>90060</v>
      </c>
      <c r="C3" s="48" t="s">
        <v>225</v>
      </c>
      <c r="E3" s="44"/>
    </row>
    <row r="4" spans="1:5" x14ac:dyDescent="0.2">
      <c r="A4" s="1" t="s">
        <v>229</v>
      </c>
      <c r="B4" s="22">
        <f>(3977.3+318.2)/B3</f>
        <v>4.7695980457472795E-2</v>
      </c>
      <c r="C4" s="29" t="s">
        <v>231</v>
      </c>
      <c r="D4" s="5" t="s">
        <v>233</v>
      </c>
      <c r="E4" s="44"/>
    </row>
    <row r="5" spans="1:5" x14ac:dyDescent="0.2">
      <c r="A5" s="49" t="s">
        <v>234</v>
      </c>
      <c r="B5" s="50">
        <f>B2*(1+(1-'Table B'!J18)*B4)</f>
        <v>0.83968194310702349</v>
      </c>
      <c r="D5" s="5" t="s">
        <v>237</v>
      </c>
      <c r="E5" s="44"/>
    </row>
    <row r="6" spans="1:5" x14ac:dyDescent="0.2">
      <c r="E6" s="44"/>
    </row>
    <row r="7" spans="1:5" x14ac:dyDescent="0.2">
      <c r="A7" s="1" t="s">
        <v>238</v>
      </c>
      <c r="B7" s="11">
        <v>4.5600000000000002E-2</v>
      </c>
      <c r="C7" s="48" t="s">
        <v>239</v>
      </c>
    </row>
    <row r="8" spans="1:5" x14ac:dyDescent="0.2">
      <c r="A8" s="1" t="s">
        <v>241</v>
      </c>
      <c r="B8" s="11">
        <v>4.4600000000000001E-2</v>
      </c>
      <c r="C8" s="29" t="s">
        <v>242</v>
      </c>
    </row>
    <row r="9" spans="1:5" x14ac:dyDescent="0.2">
      <c r="A9" s="49" t="s">
        <v>243</v>
      </c>
      <c r="B9" s="42">
        <f>B7+B5*B8</f>
        <v>8.3049814662573246E-2</v>
      </c>
    </row>
    <row r="11" spans="1:5" x14ac:dyDescent="0.2">
      <c r="A11" s="1" t="s">
        <v>244</v>
      </c>
      <c r="B11" s="11">
        <v>3.6999999999999998E-2</v>
      </c>
      <c r="C11" s="29" t="s">
        <v>231</v>
      </c>
    </row>
    <row r="12" spans="1:5" x14ac:dyDescent="0.2">
      <c r="A12" s="49" t="s">
        <v>245</v>
      </c>
      <c r="B12" s="42">
        <f>(1-B4)*B9+B4*B11*(1-'Table B'!J18)</f>
        <v>8.0444514171059883E-2</v>
      </c>
      <c r="D12" s="5" t="s">
        <v>246</v>
      </c>
    </row>
    <row r="13" spans="1:5" x14ac:dyDescent="0.2">
      <c r="A13" s="51"/>
      <c r="B13" s="44"/>
      <c r="C13" s="44"/>
      <c r="D13" s="44"/>
    </row>
    <row r="14" spans="1:5" x14ac:dyDescent="0.2">
      <c r="A14" s="1" t="s">
        <v>248</v>
      </c>
      <c r="B14" s="52">
        <f>'Bridge YTD'!F6-'Bridge YTD'!F7-'Bridge YTD'!F8</f>
        <v>4840.6000000000004</v>
      </c>
    </row>
    <row r="15" spans="1:5" x14ac:dyDescent="0.2">
      <c r="A15" s="1" t="s">
        <v>249</v>
      </c>
      <c r="B15" s="52">
        <v>0</v>
      </c>
    </row>
    <row r="16" spans="1:5" x14ac:dyDescent="0.2">
      <c r="A16" s="1" t="s">
        <v>251</v>
      </c>
      <c r="B16" s="5">
        <v>225.31</v>
      </c>
      <c r="C16" s="29" t="s">
        <v>252</v>
      </c>
      <c r="D16" s="5" t="s">
        <v>253</v>
      </c>
    </row>
    <row r="17" spans="1:16" x14ac:dyDescent="0.2">
      <c r="A17" s="1" t="s">
        <v>254</v>
      </c>
      <c r="B17" s="5">
        <v>404.5</v>
      </c>
      <c r="C17" s="29" t="s">
        <v>231</v>
      </c>
      <c r="D17" s="5" t="s">
        <v>255</v>
      </c>
    </row>
    <row r="18" spans="1:16" x14ac:dyDescent="0.2">
      <c r="A18" s="1" t="s">
        <v>256</v>
      </c>
      <c r="B18" s="53">
        <f>B12</f>
        <v>8.0444514171059883E-2</v>
      </c>
    </row>
    <row r="19" spans="1:16" x14ac:dyDescent="0.2">
      <c r="A19" s="1" t="s">
        <v>260</v>
      </c>
      <c r="B19" s="53">
        <v>1.7999999999999999E-2</v>
      </c>
      <c r="C19" s="29" t="s">
        <v>261</v>
      </c>
    </row>
    <row r="20" spans="1:16" x14ac:dyDescent="0.2">
      <c r="A20" s="1" t="s">
        <v>262</v>
      </c>
      <c r="B20" s="53">
        <v>5.0000000000000001E-3</v>
      </c>
    </row>
    <row r="22" spans="1:16" x14ac:dyDescent="0.2">
      <c r="A22" s="54" t="s">
        <v>263</v>
      </c>
      <c r="B22" s="55">
        <f>IFERROR($B$18-($B$14+$B$15)/($B$16*$B$17),"")</f>
        <v>2.733159116576115E-2</v>
      </c>
    </row>
    <row r="23" spans="1:16" x14ac:dyDescent="0.2"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">
      <c r="A24" s="54" t="s">
        <v>266</v>
      </c>
      <c r="B24" s="56" t="s">
        <v>267</v>
      </c>
      <c r="C24" s="57" t="s">
        <v>268</v>
      </c>
      <c r="D24" s="57" t="s">
        <v>269</v>
      </c>
      <c r="J24" s="58"/>
      <c r="K24" s="22"/>
      <c r="L24" s="22"/>
      <c r="M24" s="22"/>
      <c r="N24" s="22"/>
      <c r="O24" s="22"/>
      <c r="P24" s="22"/>
    </row>
    <row r="25" spans="1:16" x14ac:dyDescent="0.2">
      <c r="A25" s="59" t="s">
        <v>270</v>
      </c>
      <c r="B25" s="60">
        <f>IF($B$19="","",$B$19-$B$20)</f>
        <v>1.2999999999999998E-2</v>
      </c>
      <c r="C25" s="60">
        <f t="array" ref="C25">IF(OR($B$14="",$B$16="",$B$17="",$B$18="",B25=""),"",IF(B25&gt;=$B$18,"long run &gt;= return",IFERROR(INDEX(Grid!$A$4:$A$404,MATCH($B$16*$B$17,Grid!B$4:B$404,1))+($B$16*$B$17-INDEX(Grid!B$4:B$404,MATCH($B$16*$B$17,Grid!B$4:B$404,1)))/(INDEX(Grid!B$4:B$404,MATCH($B$16*$B$17,Grid!B$4:B$404,1)+1)-INDEX(Grid!B$4:B$404,MATCH($B$16*$B$17,Grid!B$4:B$404,1)))*Grid!$B$2,"outside range")))</f>
        <v>8.538626861606996E-2</v>
      </c>
      <c r="D25" s="60">
        <f t="array" ref="D25">IF(OR($B$14="",$B$16="",$B$17="",$B$18="",B25=""),"",IF(B25&gt;=$B$18,"long run &gt;= return",IFERROR(INDEX(Grid!$A$4:$A$404,MATCH($B$16*$B$17,Grid!C$4:C$404,1))+($B$16*$B$17-INDEX(Grid!C$4:C$404,MATCH($B$16*$B$17,Grid!C$4:C$404,1)))/(INDEX(Grid!C$4:C$404,MATCH($B$16*$B$17,Grid!C$4:C$404,1)+1)-INDEX(Grid!C$4:C$404,MATCH($B$16*$B$17,Grid!C$4:C$404,1)))*Grid!$B$2,"outside range")))</f>
        <v>4.9308197324777106E-2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x14ac:dyDescent="0.2">
      <c r="A26" s="61" t="s">
        <v>281</v>
      </c>
      <c r="B26" s="60">
        <f>IF($B$19="","",$B$19)</f>
        <v>1.7999999999999999E-2</v>
      </c>
      <c r="C26" s="55">
        <f t="array" ref="C26">IF(OR($B$14="",$B$16="",$B$17="",$B$18="",B26=""),"",IF(B26&gt;=$B$18,"long run &gt;= return",IFERROR(INDEX(Grid!$A$4:$A$404,MATCH($B$16*$B$17,Grid!D$4:D$404,1))+($B$16*$B$17-INDEX(Grid!D$4:D$404,MATCH($B$16*$B$17,Grid!D$4:D$404,1)))/(INDEX(Grid!D$4:D$404,MATCH($B$16*$B$17,Grid!D$4:D$404,1)+1)-INDEX(Grid!D$4:D$404,MATCH($B$16*$B$17,Grid!D$4:D$404,1)))*Grid!$B$2,"outside range")))</f>
        <v>6.6392334653398694E-2</v>
      </c>
      <c r="D26" s="55">
        <f t="array" ref="D26">IF(OR($B$14="",$B$16="",$B$17="",$B$18="",B26=""),"",IF(B26&gt;=$B$18,"long run &gt;= return",IFERROR(INDEX(Grid!$A$4:$A$404,MATCH($B$16*$B$17,Grid!E$4:E$404,1))+($B$16*$B$17-INDEX(Grid!E$4:E$404,MATCH($B$16*$B$17,Grid!E$4:E$404,1)))/(INDEX(Grid!E$4:E$404,MATCH($B$16*$B$17,Grid!E$4:E$404,1)+1)-INDEX(Grid!E$4:E$404,MATCH($B$16*$B$17,Grid!E$4:E$404,1)))*Grid!$B$2,"outside range")))</f>
        <v>4.2252034146639257E-2</v>
      </c>
      <c r="F26" s="22"/>
      <c r="G26" s="22"/>
      <c r="H26" s="22"/>
      <c r="I26" s="22"/>
    </row>
    <row r="27" spans="1:16" x14ac:dyDescent="0.2">
      <c r="A27" s="59" t="s">
        <v>282</v>
      </c>
      <c r="B27" s="60">
        <f>IF($B$19="","",$B$19+$B$20)</f>
        <v>2.3E-2</v>
      </c>
      <c r="C27" s="60">
        <f t="array" ref="C27">IF(OR($B$14="",$B$16="",$B$17="",$B$18="",B27=""),"",IF(B27&gt;=$B$18,"long run &gt;= return",IFERROR(INDEX(Grid!$A$4:$A$404,MATCH($B$16*$B$17,Grid!F$4:F$404,1))+($B$16*$B$17-INDEX(Grid!F$4:F$404,MATCH($B$16*$B$17,Grid!F$4:F$404,1)))/(INDEX(Grid!F$4:F$404,MATCH($B$16*$B$17,Grid!F$4:F$404,1)+1)-INDEX(Grid!F$4:F$404,MATCH($B$16*$B$17,Grid!F$4:F$404,1)))*Grid!$B$2,"outside range")))</f>
        <v>4.6107004058867952E-2</v>
      </c>
      <c r="D27" s="60">
        <f t="array" ref="D27">IF(OR($B$14="",$B$16="",$B$17="",$B$18="",B27=""),"",IF(B27&gt;=$B$18,"long run &gt;= return",IFERROR(INDEX(Grid!$A$4:$A$404,MATCH($B$16*$B$17,Grid!G$4:G$404,1))+($B$16*$B$17-INDEX(Grid!G$4:G$404,MATCH($B$16*$B$17,Grid!G$4:G$404,1)))/(INDEX(Grid!G$4:G$404,MATCH($B$16*$B$17,Grid!G$4:G$404,1)+1)-INDEX(Grid!G$4:G$404,MATCH($B$16*$B$17,Grid!G$4:G$404,1)))*Grid!$B$2,"outside range")))</f>
        <v>3.4572273615987865E-2</v>
      </c>
    </row>
    <row r="28" spans="1:16" x14ac:dyDescent="0.2"/>
    <row r="29" spans="1:16" x14ac:dyDescent="0.2"/>
    <row r="30" spans="1:16" x14ac:dyDescent="0.2"/>
    <row r="31" spans="1:16" x14ac:dyDescent="0.2"/>
    <row r="32" spans="1:16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  <row r="150" x14ac:dyDescent="0.2"/>
    <row r="151" x14ac:dyDescent="0.2"/>
    <row r="152" x14ac:dyDescent="0.2"/>
    <row r="153" x14ac:dyDescent="0.2"/>
    <row r="154" x14ac:dyDescent="0.2"/>
    <row r="155" x14ac:dyDescent="0.2"/>
    <row r="156" x14ac:dyDescent="0.2"/>
    <row r="157" x14ac:dyDescent="0.2"/>
    <row r="158" x14ac:dyDescent="0.2"/>
    <row r="159" x14ac:dyDescent="0.2"/>
    <row r="160" x14ac:dyDescent="0.2"/>
    <row r="161" x14ac:dyDescent="0.2"/>
    <row r="162" x14ac:dyDescent="0.2"/>
    <row r="163" x14ac:dyDescent="0.2"/>
    <row r="164" x14ac:dyDescent="0.2"/>
    <row r="165" x14ac:dyDescent="0.2"/>
    <row r="166" x14ac:dyDescent="0.2"/>
    <row r="167" x14ac:dyDescent="0.2"/>
    <row r="168" x14ac:dyDescent="0.2"/>
    <row r="169" x14ac:dyDescent="0.2"/>
    <row r="170" x14ac:dyDescent="0.2"/>
    <row r="171" x14ac:dyDescent="0.2"/>
    <row r="172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6" x14ac:dyDescent="0.2"/>
    <row r="347" x14ac:dyDescent="0.2"/>
    <row r="348" x14ac:dyDescent="0.2"/>
    <row r="349" x14ac:dyDescent="0.2"/>
    <row r="350" x14ac:dyDescent="0.2"/>
    <row r="351" x14ac:dyDescent="0.2"/>
    <row r="352" x14ac:dyDescent="0.2"/>
    <row r="353" x14ac:dyDescent="0.2"/>
    <row r="354" x14ac:dyDescent="0.2"/>
    <row r="355" x14ac:dyDescent="0.2"/>
    <row r="356" x14ac:dyDescent="0.2"/>
    <row r="357" x14ac:dyDescent="0.2"/>
    <row r="358" x14ac:dyDescent="0.2"/>
    <row r="359" x14ac:dyDescent="0.2"/>
    <row r="360" x14ac:dyDescent="0.2"/>
    <row r="361" x14ac:dyDescent="0.2"/>
    <row r="362" x14ac:dyDescent="0.2"/>
    <row r="363" x14ac:dyDescent="0.2"/>
    <row r="364" x14ac:dyDescent="0.2"/>
    <row r="365" x14ac:dyDescent="0.2"/>
    <row r="366" x14ac:dyDescent="0.2"/>
    <row r="367" x14ac:dyDescent="0.2"/>
    <row r="368" x14ac:dyDescent="0.2"/>
    <row r="369" x14ac:dyDescent="0.2"/>
    <row r="370" x14ac:dyDescent="0.2"/>
    <row r="371" x14ac:dyDescent="0.2"/>
    <row r="372" x14ac:dyDescent="0.2"/>
    <row r="373" x14ac:dyDescent="0.2"/>
    <row r="374" x14ac:dyDescent="0.2"/>
    <row r="375" x14ac:dyDescent="0.2"/>
    <row r="376" x14ac:dyDescent="0.2"/>
    <row r="377" x14ac:dyDescent="0.2"/>
    <row r="378" x14ac:dyDescent="0.2"/>
    <row r="379" x14ac:dyDescent="0.2"/>
    <row r="380" x14ac:dyDescent="0.2"/>
    <row r="381" x14ac:dyDescent="0.2"/>
    <row r="382" x14ac:dyDescent="0.2"/>
    <row r="383" x14ac:dyDescent="0.2"/>
    <row r="384" x14ac:dyDescent="0.2"/>
    <row r="385" x14ac:dyDescent="0.2"/>
    <row r="386" x14ac:dyDescent="0.2"/>
    <row r="387" x14ac:dyDescent="0.2"/>
    <row r="388" x14ac:dyDescent="0.2"/>
    <row r="389" x14ac:dyDescent="0.2"/>
    <row r="390" x14ac:dyDescent="0.2"/>
    <row r="391" x14ac:dyDescent="0.2"/>
    <row r="392" x14ac:dyDescent="0.2"/>
    <row r="393" x14ac:dyDescent="0.2"/>
    <row r="394" x14ac:dyDescent="0.2"/>
    <row r="395" x14ac:dyDescent="0.2"/>
    <row r="396" x14ac:dyDescent="0.2"/>
    <row r="397" x14ac:dyDescent="0.2"/>
    <row r="398" x14ac:dyDescent="0.2"/>
    <row r="399" x14ac:dyDescent="0.2"/>
    <row r="400" x14ac:dyDescent="0.2"/>
    <row r="40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  <row r="447" x14ac:dyDescent="0.2"/>
    <row r="448" x14ac:dyDescent="0.2"/>
    <row r="449" x14ac:dyDescent="0.2"/>
    <row r="450" x14ac:dyDescent="0.2"/>
    <row r="451" x14ac:dyDescent="0.2"/>
    <row r="452" x14ac:dyDescent="0.2"/>
    <row r="453" x14ac:dyDescent="0.2"/>
    <row r="454" x14ac:dyDescent="0.2"/>
    <row r="455" x14ac:dyDescent="0.2"/>
    <row r="456" x14ac:dyDescent="0.2"/>
    <row r="457" x14ac:dyDescent="0.2"/>
    <row r="458" x14ac:dyDescent="0.2"/>
    <row r="459" x14ac:dyDescent="0.2"/>
    <row r="460" x14ac:dyDescent="0.2"/>
    <row r="461" x14ac:dyDescent="0.2"/>
    <row r="462" x14ac:dyDescent="0.2"/>
    <row r="463" x14ac:dyDescent="0.2"/>
    <row r="464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0" x14ac:dyDescent="0.2"/>
    <row r="491" x14ac:dyDescent="0.2"/>
    <row r="492" x14ac:dyDescent="0.2"/>
    <row r="493" x14ac:dyDescent="0.2"/>
    <row r="494" x14ac:dyDescent="0.2"/>
    <row r="495" x14ac:dyDescent="0.2"/>
    <row r="496" x14ac:dyDescent="0.2"/>
    <row r="497" x14ac:dyDescent="0.2"/>
    <row r="498" x14ac:dyDescent="0.2"/>
    <row r="499" x14ac:dyDescent="0.2"/>
    <row r="500" x14ac:dyDescent="0.2"/>
    <row r="501" x14ac:dyDescent="0.2"/>
    <row r="502" x14ac:dyDescent="0.2"/>
    <row r="503" x14ac:dyDescent="0.2"/>
    <row r="504" x14ac:dyDescent="0.2"/>
    <row r="505" x14ac:dyDescent="0.2"/>
    <row r="506" x14ac:dyDescent="0.2"/>
    <row r="507" x14ac:dyDescent="0.2"/>
    <row r="508" x14ac:dyDescent="0.2"/>
    <row r="509" x14ac:dyDescent="0.2"/>
    <row r="510" x14ac:dyDescent="0.2"/>
    <row r="511" x14ac:dyDescent="0.2"/>
    <row r="512" x14ac:dyDescent="0.2"/>
    <row r="513" x14ac:dyDescent="0.2"/>
    <row r="514" x14ac:dyDescent="0.2"/>
    <row r="515" x14ac:dyDescent="0.2"/>
    <row r="516" x14ac:dyDescent="0.2"/>
    <row r="517" x14ac:dyDescent="0.2"/>
    <row r="518" x14ac:dyDescent="0.2"/>
    <row r="519" x14ac:dyDescent="0.2"/>
    <row r="520" x14ac:dyDescent="0.2"/>
    <row r="521" x14ac:dyDescent="0.2"/>
    <row r="522" x14ac:dyDescent="0.2"/>
    <row r="523" x14ac:dyDescent="0.2"/>
    <row r="524" x14ac:dyDescent="0.2"/>
    <row r="525" x14ac:dyDescent="0.2"/>
    <row r="526" x14ac:dyDescent="0.2"/>
    <row r="527" x14ac:dyDescent="0.2"/>
    <row r="528" x14ac:dyDescent="0.2"/>
    <row r="529" x14ac:dyDescent="0.2"/>
    <row r="530" x14ac:dyDescent="0.2"/>
    <row r="531" x14ac:dyDescent="0.2"/>
    <row r="532" x14ac:dyDescent="0.2"/>
    <row r="533" x14ac:dyDescent="0.2"/>
    <row r="534" x14ac:dyDescent="0.2"/>
    <row r="535" x14ac:dyDescent="0.2"/>
    <row r="536" x14ac:dyDescent="0.2"/>
    <row r="537" x14ac:dyDescent="0.2"/>
    <row r="538" x14ac:dyDescent="0.2"/>
    <row r="539" x14ac:dyDescent="0.2"/>
    <row r="540" x14ac:dyDescent="0.2"/>
    <row r="541" x14ac:dyDescent="0.2"/>
    <row r="542" x14ac:dyDescent="0.2"/>
    <row r="543" x14ac:dyDescent="0.2"/>
    <row r="544" x14ac:dyDescent="0.2"/>
    <row r="545" x14ac:dyDescent="0.2"/>
    <row r="546" x14ac:dyDescent="0.2"/>
    <row r="547" x14ac:dyDescent="0.2"/>
    <row r="548" x14ac:dyDescent="0.2"/>
    <row r="549" x14ac:dyDescent="0.2"/>
    <row r="550" x14ac:dyDescent="0.2"/>
    <row r="551" x14ac:dyDescent="0.2"/>
    <row r="552" x14ac:dyDescent="0.2"/>
    <row r="553" x14ac:dyDescent="0.2"/>
    <row r="554" x14ac:dyDescent="0.2"/>
    <row r="555" x14ac:dyDescent="0.2"/>
    <row r="556" x14ac:dyDescent="0.2"/>
    <row r="557" x14ac:dyDescent="0.2"/>
    <row r="558" x14ac:dyDescent="0.2"/>
    <row r="559" x14ac:dyDescent="0.2"/>
    <row r="560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  <row r="582" x14ac:dyDescent="0.2"/>
    <row r="583" x14ac:dyDescent="0.2"/>
    <row r="584" x14ac:dyDescent="0.2"/>
    <row r="585" x14ac:dyDescent="0.2"/>
    <row r="586" x14ac:dyDescent="0.2"/>
    <row r="587" x14ac:dyDescent="0.2"/>
    <row r="588" x14ac:dyDescent="0.2"/>
    <row r="589" x14ac:dyDescent="0.2"/>
    <row r="590" x14ac:dyDescent="0.2"/>
    <row r="591" x14ac:dyDescent="0.2"/>
    <row r="592" x14ac:dyDescent="0.2"/>
    <row r="593" x14ac:dyDescent="0.2"/>
    <row r="594" x14ac:dyDescent="0.2"/>
    <row r="595" x14ac:dyDescent="0.2"/>
    <row r="596" x14ac:dyDescent="0.2"/>
    <row r="597" x14ac:dyDescent="0.2"/>
    <row r="598" x14ac:dyDescent="0.2"/>
    <row r="599" x14ac:dyDescent="0.2"/>
    <row r="600" x14ac:dyDescent="0.2"/>
    <row r="601" x14ac:dyDescent="0.2"/>
    <row r="602" x14ac:dyDescent="0.2"/>
    <row r="603" x14ac:dyDescent="0.2"/>
    <row r="604" x14ac:dyDescent="0.2"/>
    <row r="605" x14ac:dyDescent="0.2"/>
    <row r="606" x14ac:dyDescent="0.2"/>
    <row r="607" x14ac:dyDescent="0.2"/>
    <row r="608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2" x14ac:dyDescent="0.2"/>
    <row r="653" x14ac:dyDescent="0.2"/>
    <row r="654" x14ac:dyDescent="0.2"/>
    <row r="655" x14ac:dyDescent="0.2"/>
    <row r="656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x14ac:dyDescent="0.2"/>
    <row r="773" x14ac:dyDescent="0.2"/>
    <row r="774" x14ac:dyDescent="0.2"/>
    <row r="775" x14ac:dyDescent="0.2"/>
    <row r="776" x14ac:dyDescent="0.2"/>
    <row r="777" x14ac:dyDescent="0.2"/>
    <row r="778" x14ac:dyDescent="0.2"/>
    <row r="779" x14ac:dyDescent="0.2"/>
    <row r="780" x14ac:dyDescent="0.2"/>
    <row r="781" x14ac:dyDescent="0.2"/>
    <row r="782" x14ac:dyDescent="0.2"/>
    <row r="783" x14ac:dyDescent="0.2"/>
    <row r="784" x14ac:dyDescent="0.2"/>
    <row r="785" x14ac:dyDescent="0.2"/>
    <row r="786" x14ac:dyDescent="0.2"/>
    <row r="787" x14ac:dyDescent="0.2"/>
    <row r="788" x14ac:dyDescent="0.2"/>
    <row r="789" x14ac:dyDescent="0.2"/>
    <row r="790" x14ac:dyDescent="0.2"/>
    <row r="791" x14ac:dyDescent="0.2"/>
    <row r="792" x14ac:dyDescent="0.2"/>
    <row r="793" x14ac:dyDescent="0.2"/>
    <row r="794" x14ac:dyDescent="0.2"/>
    <row r="795" x14ac:dyDescent="0.2"/>
    <row r="796" x14ac:dyDescent="0.2"/>
    <row r="797" x14ac:dyDescent="0.2"/>
    <row r="798" x14ac:dyDescent="0.2"/>
    <row r="799" x14ac:dyDescent="0.2"/>
    <row r="800" x14ac:dyDescent="0.2"/>
    <row r="801" x14ac:dyDescent="0.2"/>
    <row r="802" x14ac:dyDescent="0.2"/>
    <row r="803" x14ac:dyDescent="0.2"/>
    <row r="804" x14ac:dyDescent="0.2"/>
    <row r="805" x14ac:dyDescent="0.2"/>
    <row r="806" x14ac:dyDescent="0.2"/>
    <row r="807" x14ac:dyDescent="0.2"/>
    <row r="808" x14ac:dyDescent="0.2"/>
    <row r="809" x14ac:dyDescent="0.2"/>
    <row r="810" x14ac:dyDescent="0.2"/>
    <row r="811" x14ac:dyDescent="0.2"/>
    <row r="812" x14ac:dyDescent="0.2"/>
    <row r="813" x14ac:dyDescent="0.2"/>
    <row r="814" x14ac:dyDescent="0.2"/>
    <row r="815" x14ac:dyDescent="0.2"/>
    <row r="816" x14ac:dyDescent="0.2"/>
    <row r="817" x14ac:dyDescent="0.2"/>
    <row r="818" x14ac:dyDescent="0.2"/>
    <row r="819" x14ac:dyDescent="0.2"/>
    <row r="820" x14ac:dyDescent="0.2"/>
    <row r="821" x14ac:dyDescent="0.2"/>
    <row r="822" x14ac:dyDescent="0.2"/>
    <row r="823" x14ac:dyDescent="0.2"/>
    <row r="824" x14ac:dyDescent="0.2"/>
    <row r="825" x14ac:dyDescent="0.2"/>
    <row r="826" x14ac:dyDescent="0.2"/>
    <row r="827" x14ac:dyDescent="0.2"/>
    <row r="828" x14ac:dyDescent="0.2"/>
    <row r="829" x14ac:dyDescent="0.2"/>
    <row r="830" x14ac:dyDescent="0.2"/>
    <row r="831" x14ac:dyDescent="0.2"/>
    <row r="832" x14ac:dyDescent="0.2"/>
    <row r="833" x14ac:dyDescent="0.2"/>
    <row r="834" x14ac:dyDescent="0.2"/>
    <row r="835" x14ac:dyDescent="0.2"/>
    <row r="836" x14ac:dyDescent="0.2"/>
    <row r="837" x14ac:dyDescent="0.2"/>
    <row r="838" x14ac:dyDescent="0.2"/>
    <row r="839" x14ac:dyDescent="0.2"/>
    <row r="840" x14ac:dyDescent="0.2"/>
    <row r="841" x14ac:dyDescent="0.2"/>
    <row r="842" x14ac:dyDescent="0.2"/>
    <row r="843" x14ac:dyDescent="0.2"/>
    <row r="844" x14ac:dyDescent="0.2"/>
    <row r="845" x14ac:dyDescent="0.2"/>
    <row r="846" x14ac:dyDescent="0.2"/>
    <row r="847" x14ac:dyDescent="0.2"/>
    <row r="848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  <row r="861" x14ac:dyDescent="0.2"/>
    <row r="862" x14ac:dyDescent="0.2"/>
    <row r="863" x14ac:dyDescent="0.2"/>
    <row r="864" x14ac:dyDescent="0.2"/>
    <row r="865" x14ac:dyDescent="0.2"/>
    <row r="866" x14ac:dyDescent="0.2"/>
    <row r="867" x14ac:dyDescent="0.2"/>
    <row r="868" x14ac:dyDescent="0.2"/>
    <row r="869" x14ac:dyDescent="0.2"/>
    <row r="870" x14ac:dyDescent="0.2"/>
    <row r="871" x14ac:dyDescent="0.2"/>
    <row r="872" x14ac:dyDescent="0.2"/>
    <row r="873" x14ac:dyDescent="0.2"/>
    <row r="874" x14ac:dyDescent="0.2"/>
    <row r="875" x14ac:dyDescent="0.2"/>
    <row r="876" x14ac:dyDescent="0.2"/>
    <row r="877" x14ac:dyDescent="0.2"/>
    <row r="878" x14ac:dyDescent="0.2"/>
    <row r="879" x14ac:dyDescent="0.2"/>
    <row r="880" x14ac:dyDescent="0.2"/>
    <row r="881" x14ac:dyDescent="0.2"/>
    <row r="882" x14ac:dyDescent="0.2"/>
    <row r="883" x14ac:dyDescent="0.2"/>
    <row r="884" x14ac:dyDescent="0.2"/>
    <row r="885" x14ac:dyDescent="0.2"/>
    <row r="886" x14ac:dyDescent="0.2"/>
    <row r="887" x14ac:dyDescent="0.2"/>
    <row r="888" x14ac:dyDescent="0.2"/>
    <row r="889" x14ac:dyDescent="0.2"/>
    <row r="890" x14ac:dyDescent="0.2"/>
    <row r="891" x14ac:dyDescent="0.2"/>
    <row r="892" x14ac:dyDescent="0.2"/>
    <row r="893" x14ac:dyDescent="0.2"/>
    <row r="894" x14ac:dyDescent="0.2"/>
    <row r="895" x14ac:dyDescent="0.2"/>
    <row r="896" x14ac:dyDescent="0.2"/>
    <row r="897" x14ac:dyDescent="0.2"/>
    <row r="898" x14ac:dyDescent="0.2"/>
    <row r="899" x14ac:dyDescent="0.2"/>
    <row r="900" x14ac:dyDescent="0.2"/>
    <row r="901" x14ac:dyDescent="0.2"/>
    <row r="902" x14ac:dyDescent="0.2"/>
    <row r="903" x14ac:dyDescent="0.2"/>
    <row r="904" x14ac:dyDescent="0.2"/>
    <row r="905" x14ac:dyDescent="0.2"/>
    <row r="906" x14ac:dyDescent="0.2"/>
    <row r="907" x14ac:dyDescent="0.2"/>
    <row r="908" x14ac:dyDescent="0.2"/>
    <row r="909" x14ac:dyDescent="0.2"/>
    <row r="910" x14ac:dyDescent="0.2"/>
    <row r="911" x14ac:dyDescent="0.2"/>
    <row r="912" x14ac:dyDescent="0.2"/>
    <row r="913" x14ac:dyDescent="0.2"/>
    <row r="914" x14ac:dyDescent="0.2"/>
    <row r="915" x14ac:dyDescent="0.2"/>
    <row r="916" x14ac:dyDescent="0.2"/>
    <row r="917" x14ac:dyDescent="0.2"/>
    <row r="918" x14ac:dyDescent="0.2"/>
    <row r="919" x14ac:dyDescent="0.2"/>
    <row r="920" x14ac:dyDescent="0.2"/>
    <row r="921" x14ac:dyDescent="0.2"/>
    <row r="922" x14ac:dyDescent="0.2"/>
    <row r="923" x14ac:dyDescent="0.2"/>
    <row r="924" x14ac:dyDescent="0.2"/>
    <row r="925" x14ac:dyDescent="0.2"/>
    <row r="926" x14ac:dyDescent="0.2"/>
    <row r="927" x14ac:dyDescent="0.2"/>
    <row r="928" x14ac:dyDescent="0.2"/>
    <row r="929" x14ac:dyDescent="0.2"/>
    <row r="930" x14ac:dyDescent="0.2"/>
    <row r="931" x14ac:dyDescent="0.2"/>
    <row r="932" x14ac:dyDescent="0.2"/>
    <row r="933" x14ac:dyDescent="0.2"/>
    <row r="934" x14ac:dyDescent="0.2"/>
    <row r="935" x14ac:dyDescent="0.2"/>
    <row r="936" x14ac:dyDescent="0.2"/>
    <row r="937" x14ac:dyDescent="0.2"/>
    <row r="938" x14ac:dyDescent="0.2"/>
    <row r="939" x14ac:dyDescent="0.2"/>
    <row r="940" x14ac:dyDescent="0.2"/>
    <row r="941" x14ac:dyDescent="0.2"/>
    <row r="942" x14ac:dyDescent="0.2"/>
    <row r="943" x14ac:dyDescent="0.2"/>
    <row r="944" x14ac:dyDescent="0.2"/>
    <row r="945" x14ac:dyDescent="0.2"/>
    <row r="946" x14ac:dyDescent="0.2"/>
    <row r="947" x14ac:dyDescent="0.2"/>
    <row r="948" x14ac:dyDescent="0.2"/>
    <row r="949" x14ac:dyDescent="0.2"/>
    <row r="950" x14ac:dyDescent="0.2"/>
    <row r="951" x14ac:dyDescent="0.2"/>
    <row r="952" x14ac:dyDescent="0.2"/>
    <row r="953" x14ac:dyDescent="0.2"/>
    <row r="954" x14ac:dyDescent="0.2"/>
    <row r="955" x14ac:dyDescent="0.2"/>
    <row r="956" x14ac:dyDescent="0.2"/>
    <row r="957" x14ac:dyDescent="0.2"/>
    <row r="958" x14ac:dyDescent="0.2"/>
    <row r="959" x14ac:dyDescent="0.2"/>
    <row r="960" x14ac:dyDescent="0.2"/>
    <row r="961" x14ac:dyDescent="0.2"/>
    <row r="962" x14ac:dyDescent="0.2"/>
    <row r="963" x14ac:dyDescent="0.2"/>
    <row r="964" x14ac:dyDescent="0.2"/>
    <row r="965" x14ac:dyDescent="0.2"/>
    <row r="966" x14ac:dyDescent="0.2"/>
    <row r="967" x14ac:dyDescent="0.2"/>
    <row r="968" x14ac:dyDescent="0.2"/>
    <row r="969" x14ac:dyDescent="0.2"/>
    <row r="970" x14ac:dyDescent="0.2"/>
    <row r="971" x14ac:dyDescent="0.2"/>
    <row r="972" x14ac:dyDescent="0.2"/>
    <row r="973" x14ac:dyDescent="0.2"/>
    <row r="974" x14ac:dyDescent="0.2"/>
    <row r="975" x14ac:dyDescent="0.2"/>
    <row r="976" x14ac:dyDescent="0.2"/>
    <row r="977" x14ac:dyDescent="0.2"/>
    <row r="978" x14ac:dyDescent="0.2"/>
    <row r="979" x14ac:dyDescent="0.2"/>
    <row r="980" x14ac:dyDescent="0.2"/>
    <row r="981" x14ac:dyDescent="0.2"/>
    <row r="982" x14ac:dyDescent="0.2"/>
    <row r="983" x14ac:dyDescent="0.2"/>
    <row r="984" x14ac:dyDescent="0.2"/>
    <row r="985" x14ac:dyDescent="0.2"/>
    <row r="986" x14ac:dyDescent="0.2"/>
    <row r="987" x14ac:dyDescent="0.2"/>
    <row r="988" x14ac:dyDescent="0.2"/>
    <row r="989" x14ac:dyDescent="0.2"/>
    <row r="990" x14ac:dyDescent="0.2"/>
    <row r="991" x14ac:dyDescent="0.2"/>
    <row r="992" x14ac:dyDescent="0.2"/>
    <row r="993" x14ac:dyDescent="0.2"/>
    <row r="994" x14ac:dyDescent="0.2"/>
    <row r="995" x14ac:dyDescent="0.2"/>
    <row r="996" x14ac:dyDescent="0.2"/>
    <row r="997" x14ac:dyDescent="0.2"/>
    <row r="998" x14ac:dyDescent="0.2"/>
    <row r="999" x14ac:dyDescent="0.2"/>
    <row r="1000" x14ac:dyDescent="0.2"/>
    <row r="1001" x14ac:dyDescent="0.2"/>
    <row r="1002" x14ac:dyDescent="0.2"/>
    <row r="1003" x14ac:dyDescent="0.2"/>
    <row r="1004" x14ac:dyDescent="0.2"/>
    <row r="1005" x14ac:dyDescent="0.2"/>
  </sheetData>
  <hyperlinks>
    <hyperlink ref="C2" r:id="rId1" xr:uid="{00000000-0004-0000-0800-000000000000}"/>
    <hyperlink ref="C3" r:id="rId2" location="google_vignette" xr:uid="{00000000-0004-0000-0800-000001000000}"/>
    <hyperlink ref="C4" r:id="rId3" xr:uid="{00000000-0004-0000-0800-000002000000}"/>
    <hyperlink ref="C7" r:id="rId4" xr:uid="{00000000-0004-0000-0800-000003000000}"/>
    <hyperlink ref="C8" r:id="rId5" xr:uid="{00000000-0004-0000-0800-000004000000}"/>
    <hyperlink ref="C11" r:id="rId6" xr:uid="{00000000-0004-0000-0800-000005000000}"/>
    <hyperlink ref="C16" r:id="rId7" xr:uid="{00000000-0004-0000-0800-000006000000}"/>
    <hyperlink ref="C17" r:id="rId8" xr:uid="{00000000-0004-0000-0800-000007000000}"/>
    <hyperlink ref="C19" r:id="rId9" xr:uid="{00000000-0004-0000-0800-000008000000}"/>
  </hyperlinks>
  <pageMargins left="0.75" right="0.75" top="1" bottom="1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E75"/>
  <sheetViews>
    <sheetView workbookViewId="0"/>
  </sheetViews>
  <sheetFormatPr baseColWidth="10" defaultColWidth="14.3984375" defaultRowHeight="15.75" customHeight="1" x14ac:dyDescent="0.2"/>
  <sheetData>
    <row r="1" spans="1:5" x14ac:dyDescent="0.2">
      <c r="A1" s="1" t="s">
        <v>283</v>
      </c>
      <c r="B1" s="62" t="s">
        <v>284</v>
      </c>
      <c r="C1" s="62" t="s">
        <v>285</v>
      </c>
      <c r="D1" s="62" t="s">
        <v>286</v>
      </c>
      <c r="E1" s="1" t="s">
        <v>146</v>
      </c>
    </row>
    <row r="2" spans="1:5" x14ac:dyDescent="0.2">
      <c r="A2" s="1" t="s">
        <v>287</v>
      </c>
      <c r="B2" s="11">
        <f>MIN('Table B'!C58:J58)</f>
        <v>0.12472413513134489</v>
      </c>
      <c r="C2" s="11">
        <f>MEDIAN('Table B'!C58:J58)</f>
        <v>0.14647141040460177</v>
      </c>
      <c r="D2" s="11">
        <f>MAX('Table B'!C58:J58)</f>
        <v>0.18890861974622902</v>
      </c>
    </row>
    <row r="3" spans="1:5" x14ac:dyDescent="0.2">
      <c r="A3" s="1" t="s">
        <v>288</v>
      </c>
      <c r="B3" s="11">
        <f>MIN('Table B'!C59:J59)</f>
        <v>0.61660079051383399</v>
      </c>
      <c r="C3" s="11">
        <f>MEDIAN('Table B'!C59:J59)</f>
        <v>0.7743350105779141</v>
      </c>
      <c r="D3" s="11">
        <f>MAX('Table B'!C59:J59)</f>
        <v>0.85866477272727271</v>
      </c>
    </row>
    <row r="4" spans="1:5" x14ac:dyDescent="0.2">
      <c r="A4" s="1" t="s">
        <v>289</v>
      </c>
      <c r="B4" s="6">
        <f>'Table B'!J68</f>
        <v>37631.199999999997</v>
      </c>
      <c r="C4" s="6">
        <f>'Table B'!J68</f>
        <v>37631.199999999997</v>
      </c>
      <c r="D4" s="6">
        <f>'Table B'!J68</f>
        <v>37631.199999999997</v>
      </c>
    </row>
    <row r="5" spans="1:5" x14ac:dyDescent="0.2">
      <c r="A5" s="1" t="s">
        <v>176</v>
      </c>
      <c r="B5" s="11">
        <f>MIN('Table B'!C69:J69)</f>
        <v>1.4E-2</v>
      </c>
      <c r="C5" s="11">
        <f>MEDIAN('Table B'!C69:J69)</f>
        <v>2.1499999999999998E-2</v>
      </c>
      <c r="D5" s="11">
        <f>'Table B'!J69</f>
        <v>3.2000000000000001E-2</v>
      </c>
    </row>
    <row r="6" spans="1:5" x14ac:dyDescent="0.2">
      <c r="A6" s="1" t="s">
        <v>290</v>
      </c>
      <c r="B6" s="11">
        <f>-0.1+0.024</f>
        <v>-7.6000000000000012E-2</v>
      </c>
      <c r="C6" s="11">
        <v>0.05</v>
      </c>
      <c r="D6" s="11">
        <v>7.0000000000000007E-2</v>
      </c>
      <c r="E6" s="29" t="s">
        <v>291</v>
      </c>
    </row>
    <row r="7" spans="1:5" x14ac:dyDescent="0.2">
      <c r="A7" s="1" t="s">
        <v>292</v>
      </c>
      <c r="B7" s="11">
        <v>0</v>
      </c>
      <c r="C7" s="11">
        <f>'Table G'!B19+0.024</f>
        <v>4.1999999999999996E-2</v>
      </c>
      <c r="D7" s="11">
        <f>'Table G'!B19+0.024</f>
        <v>4.1999999999999996E-2</v>
      </c>
      <c r="E7" s="5"/>
    </row>
    <row r="8" spans="1:5" x14ac:dyDescent="0.2">
      <c r="A8" s="1" t="s">
        <v>293</v>
      </c>
      <c r="B8" s="11">
        <v>0</v>
      </c>
      <c r="C8" s="11">
        <f>'Table G'!B26</f>
        <v>1.7999999999999999E-2</v>
      </c>
      <c r="D8" s="11">
        <f>'Table G'!B27</f>
        <v>2.3E-2</v>
      </c>
      <c r="E8" s="29" t="s">
        <v>261</v>
      </c>
    </row>
    <row r="9" spans="1:5" x14ac:dyDescent="0.2">
      <c r="A9" s="1" t="s">
        <v>294</v>
      </c>
      <c r="B9" s="6">
        <f>MAX('Table B'!C65:J65)</f>
        <v>2043.4</v>
      </c>
      <c r="C9" s="6">
        <f>MEDIAN('Table B'!C65:J65)</f>
        <v>729.9</v>
      </c>
      <c r="D9" s="6">
        <f>'Bridge YTD'!F4</f>
        <v>738.49999999999909</v>
      </c>
    </row>
    <row r="10" spans="1:5" x14ac:dyDescent="0.2">
      <c r="A10" s="1" t="s">
        <v>295</v>
      </c>
      <c r="B10" s="5">
        <v>402.5</v>
      </c>
      <c r="C10" s="22">
        <f t="shared" ref="C10:D10" si="0">402.5*(1-0.01)^10</f>
        <v>364.01378519104372</v>
      </c>
      <c r="D10" s="22">
        <f t="shared" si="0"/>
        <v>364.01378519104372</v>
      </c>
      <c r="E10" s="29" t="s">
        <v>231</v>
      </c>
    </row>
    <row r="12" spans="1:5" x14ac:dyDescent="0.2">
      <c r="A12" s="1" t="s">
        <v>296</v>
      </c>
    </row>
    <row r="13" spans="1:5" x14ac:dyDescent="0.2">
      <c r="A13" s="5">
        <v>1</v>
      </c>
      <c r="B13" s="20">
        <f>('Bridge YTD'!$F$2-'Bridge YTD'!$F$3)*(1+$B$6)^A13</f>
        <v>18750.916799999999</v>
      </c>
      <c r="C13" s="20">
        <f>('Bridge YTD'!$F$2-'Bridge YTD'!$F$3)*(1+$C$6)^A13</f>
        <v>21307.86</v>
      </c>
      <c r="D13" s="20">
        <f>('Bridge YTD'!$F$2-'Bridge YTD'!$F$3)*(1+$D$6)^A13</f>
        <v>21713.724000000002</v>
      </c>
    </row>
    <row r="14" spans="1:5" x14ac:dyDescent="0.2">
      <c r="A14" s="5">
        <v>2</v>
      </c>
      <c r="B14" s="20">
        <f>('Bridge YTD'!$F$2-'Bridge YTD'!$F$3)*(1+$B$6)^A14</f>
        <v>17325.847123199997</v>
      </c>
      <c r="C14" s="20">
        <f>('Bridge YTD'!$F$2-'Bridge YTD'!$F$3)*(1+$C$6)^A14</f>
        <v>22373.253000000001</v>
      </c>
      <c r="D14" s="20">
        <f>('Bridge YTD'!$F$2-'Bridge YTD'!$F$3)*(1+$D$6)^A14</f>
        <v>23233.684680000002</v>
      </c>
    </row>
    <row r="15" spans="1:5" x14ac:dyDescent="0.2">
      <c r="A15" s="5">
        <v>3</v>
      </c>
      <c r="B15" s="20">
        <f>('Bridge YTD'!$F$2-'Bridge YTD'!$F$3)*(1+$B$6)^A15</f>
        <v>16009.082741836797</v>
      </c>
      <c r="C15" s="20">
        <f>('Bridge YTD'!$F$2-'Bridge YTD'!$F$3)*(1+$C$6)^A15</f>
        <v>23491.915650000003</v>
      </c>
      <c r="D15" s="20">
        <f>('Bridge YTD'!$F$2-'Bridge YTD'!$F$3)*(1+$D$6)^A15</f>
        <v>24860.042607600004</v>
      </c>
    </row>
    <row r="16" spans="1:5" x14ac:dyDescent="0.2">
      <c r="A16" s="5">
        <v>4</v>
      </c>
      <c r="B16" s="20">
        <f>('Bridge YTD'!$F$2-'Bridge YTD'!$F$3)*(1+$B$6)^A16</f>
        <v>14792.392453457198</v>
      </c>
      <c r="C16" s="20">
        <f>('Bridge YTD'!$F$2-'Bridge YTD'!$F$3)*(1+$C$6)^A16</f>
        <v>24666.5114325</v>
      </c>
      <c r="D16" s="20">
        <f>('Bridge YTD'!$F$2-'Bridge YTD'!$F$3)*(1+$D$6)^A16</f>
        <v>26600.245590132003</v>
      </c>
    </row>
    <row r="17" spans="1:4" x14ac:dyDescent="0.2">
      <c r="A17" s="5">
        <v>5</v>
      </c>
      <c r="B17" s="20">
        <f>('Bridge YTD'!$F$2-'Bridge YTD'!$F$3)*(1+$B$6)^A17</f>
        <v>13668.17062699445</v>
      </c>
      <c r="C17" s="20">
        <f>('Bridge YTD'!$F$2-'Bridge YTD'!$F$3)*(1+$C$6)^A17</f>
        <v>25899.837004125002</v>
      </c>
      <c r="D17" s="20">
        <f>('Bridge YTD'!$F$2-'Bridge YTD'!$F$3)*(1+$D$6)^A17</f>
        <v>28462.262781441244</v>
      </c>
    </row>
    <row r="18" spans="1:4" x14ac:dyDescent="0.2">
      <c r="A18" s="5">
        <v>6</v>
      </c>
      <c r="B18" s="20">
        <f t="shared" ref="B18:B22" si="1">$B$17*(1+$B$7)^A13</f>
        <v>13668.17062699445</v>
      </c>
      <c r="C18" s="20">
        <f t="shared" ref="C18:C22" si="2">$C$17*(1+$C$7)^A13</f>
        <v>26987.630158298252</v>
      </c>
      <c r="D18" s="20">
        <f t="shared" ref="D18:D22" si="3">$D$17*(1+$D$7)^A13</f>
        <v>29657.677818261778</v>
      </c>
    </row>
    <row r="19" spans="1:4" x14ac:dyDescent="0.2">
      <c r="A19" s="5">
        <v>7</v>
      </c>
      <c r="B19" s="20">
        <f t="shared" si="1"/>
        <v>13668.17062699445</v>
      </c>
      <c r="C19" s="20">
        <f t="shared" si="2"/>
        <v>28121.110624946781</v>
      </c>
      <c r="D19" s="20">
        <f t="shared" si="3"/>
        <v>30903.300286628775</v>
      </c>
    </row>
    <row r="20" spans="1:4" x14ac:dyDescent="0.2">
      <c r="A20" s="5">
        <v>8</v>
      </c>
      <c r="B20" s="20">
        <f t="shared" si="1"/>
        <v>13668.17062699445</v>
      </c>
      <c r="C20" s="20">
        <f t="shared" si="2"/>
        <v>29302.197271194549</v>
      </c>
      <c r="D20" s="20">
        <f t="shared" si="3"/>
        <v>32201.238898667187</v>
      </c>
    </row>
    <row r="21" spans="1:4" x14ac:dyDescent="0.2">
      <c r="A21" s="5">
        <v>9</v>
      </c>
      <c r="B21" s="20">
        <f t="shared" si="1"/>
        <v>13668.17062699445</v>
      </c>
      <c r="C21" s="20">
        <f t="shared" si="2"/>
        <v>30532.889556584723</v>
      </c>
      <c r="D21" s="20">
        <f t="shared" si="3"/>
        <v>33553.690932411213</v>
      </c>
    </row>
    <row r="22" spans="1:4" x14ac:dyDescent="0.2">
      <c r="A22" s="5">
        <v>10</v>
      </c>
      <c r="B22" s="20">
        <f t="shared" si="1"/>
        <v>13668.17062699445</v>
      </c>
      <c r="C22" s="20">
        <f t="shared" si="2"/>
        <v>31815.270917961283</v>
      </c>
      <c r="D22" s="20">
        <f t="shared" si="3"/>
        <v>34962.945951572481</v>
      </c>
    </row>
    <row r="23" spans="1:4" x14ac:dyDescent="0.2">
      <c r="A23" s="5">
        <v>11</v>
      </c>
      <c r="B23" s="20">
        <f t="shared" ref="B23:D23" si="4">B22*(1+B8)</f>
        <v>13668.17062699445</v>
      </c>
      <c r="C23" s="20">
        <f t="shared" si="4"/>
        <v>32387.945794484585</v>
      </c>
      <c r="D23" s="20">
        <f t="shared" si="4"/>
        <v>35767.093708458648</v>
      </c>
    </row>
    <row r="25" spans="1:4" x14ac:dyDescent="0.2">
      <c r="A25" s="1" t="s">
        <v>297</v>
      </c>
    </row>
    <row r="26" spans="1:4" x14ac:dyDescent="0.2">
      <c r="A26" s="5">
        <v>1</v>
      </c>
      <c r="B26" s="20">
        <f t="shared" ref="B26:B30" si="5">($B$4*(1+$B$6)^A26)*$B$5</f>
        <v>486.79720319999996</v>
      </c>
      <c r="C26" s="20">
        <f t="shared" ref="C26:C30" si="6">($C$4*(1+$C$6)^A26)*$C$5</f>
        <v>849.52433999999994</v>
      </c>
      <c r="D26" s="20">
        <f t="shared" ref="D26:D30" si="7">($D$4*(1+$D$6)^A26)*$D$5</f>
        <v>1288.4922879999999</v>
      </c>
    </row>
    <row r="27" spans="1:4" x14ac:dyDescent="0.2">
      <c r="A27" s="5">
        <v>2</v>
      </c>
      <c r="B27" s="20">
        <f t="shared" si="5"/>
        <v>449.80061575679991</v>
      </c>
      <c r="C27" s="20">
        <f t="shared" si="6"/>
        <v>892.00055699999996</v>
      </c>
      <c r="D27" s="20">
        <f t="shared" si="7"/>
        <v>1378.68674816</v>
      </c>
    </row>
    <row r="28" spans="1:4" x14ac:dyDescent="0.2">
      <c r="A28" s="5">
        <v>3</v>
      </c>
      <c r="B28" s="20">
        <f t="shared" si="5"/>
        <v>415.61576895928306</v>
      </c>
      <c r="C28" s="20">
        <f t="shared" si="6"/>
        <v>936.60058485000002</v>
      </c>
      <c r="D28" s="20">
        <f t="shared" si="7"/>
        <v>1475.1948205311999</v>
      </c>
    </row>
    <row r="29" spans="1:4" x14ac:dyDescent="0.2">
      <c r="A29" s="5">
        <v>4</v>
      </c>
      <c r="B29" s="20">
        <f t="shared" si="5"/>
        <v>384.02897051837755</v>
      </c>
      <c r="C29" s="20">
        <f t="shared" si="6"/>
        <v>983.43061409249992</v>
      </c>
      <c r="D29" s="20">
        <f t="shared" si="7"/>
        <v>1578.4584579683838</v>
      </c>
    </row>
    <row r="30" spans="1:4" x14ac:dyDescent="0.2">
      <c r="A30" s="5">
        <v>5</v>
      </c>
      <c r="B30" s="20">
        <f t="shared" si="5"/>
        <v>354.84276875898081</v>
      </c>
      <c r="C30" s="20">
        <f t="shared" si="6"/>
        <v>1032.602144797125</v>
      </c>
      <c r="D30" s="20">
        <f t="shared" si="7"/>
        <v>1688.950550026171</v>
      </c>
    </row>
    <row r="31" spans="1:4" x14ac:dyDescent="0.2">
      <c r="A31" s="5">
        <v>6</v>
      </c>
      <c r="B31" s="20">
        <f t="shared" ref="B31:B35" si="8">((($B$4*(1+$B$6)^$A$30))*(1+$B$7)^A26)*$B$5</f>
        <v>354.84276875898081</v>
      </c>
      <c r="C31" s="20">
        <f t="shared" ref="C31:C35" si="9">((($C$4*(1+$C$6)^$A$30))*(1+$C$7)^A26)*$C$5</f>
        <v>1075.9714348786042</v>
      </c>
      <c r="D31" s="20">
        <f>D30*(1+D8)</f>
        <v>1727.7964126767727</v>
      </c>
    </row>
    <row r="32" spans="1:4" x14ac:dyDescent="0.2">
      <c r="A32" s="5">
        <v>7</v>
      </c>
      <c r="B32" s="20">
        <f t="shared" si="8"/>
        <v>354.84276875898081</v>
      </c>
      <c r="C32" s="20">
        <f t="shared" si="9"/>
        <v>1121.1622351435058</v>
      </c>
      <c r="D32" s="20">
        <f t="shared" ref="D32:D35" si="10">((($D$4*(1+$D$6)^$A$30))*(1+$D$7)^A27)*$D$5</f>
        <v>1833.8017049986156</v>
      </c>
    </row>
    <row r="33" spans="1:4" x14ac:dyDescent="0.2">
      <c r="A33" s="5">
        <v>8</v>
      </c>
      <c r="B33" s="20">
        <f t="shared" si="8"/>
        <v>354.84276875898081</v>
      </c>
      <c r="C33" s="20">
        <f t="shared" si="9"/>
        <v>1168.2510490195332</v>
      </c>
      <c r="D33" s="20">
        <f t="shared" si="10"/>
        <v>1910.8213766085578</v>
      </c>
    </row>
    <row r="34" spans="1:4" x14ac:dyDescent="0.2">
      <c r="A34" s="5">
        <v>9</v>
      </c>
      <c r="B34" s="20">
        <f t="shared" si="8"/>
        <v>354.84276875898081</v>
      </c>
      <c r="C34" s="20">
        <f t="shared" si="9"/>
        <v>1217.3175930783536</v>
      </c>
      <c r="D34" s="20">
        <f t="shared" si="10"/>
        <v>1991.0758744261175</v>
      </c>
    </row>
    <row r="35" spans="1:4" x14ac:dyDescent="0.2">
      <c r="A35" s="5">
        <v>10</v>
      </c>
      <c r="B35" s="20">
        <f t="shared" si="8"/>
        <v>354.84276875898081</v>
      </c>
      <c r="C35" s="20">
        <f t="shared" si="9"/>
        <v>1268.4449319876444</v>
      </c>
      <c r="D35" s="20">
        <f t="shared" si="10"/>
        <v>2074.7010611520141</v>
      </c>
    </row>
    <row r="36" spans="1:4" x14ac:dyDescent="0.2">
      <c r="A36" s="5">
        <v>11</v>
      </c>
      <c r="B36" s="20">
        <f t="shared" ref="B36:D36" si="11">B35*(1+B8)</f>
        <v>354.84276875898081</v>
      </c>
      <c r="C36" s="20">
        <f t="shared" si="11"/>
        <v>1291.2769407634221</v>
      </c>
      <c r="D36" s="20">
        <f t="shared" si="11"/>
        <v>2122.41918555851</v>
      </c>
    </row>
    <row r="38" spans="1:4" x14ac:dyDescent="0.2">
      <c r="A38" s="1" t="s">
        <v>298</v>
      </c>
    </row>
    <row r="39" spans="1:4" x14ac:dyDescent="0.2">
      <c r="A39" s="5">
        <v>1</v>
      </c>
      <c r="B39" s="20">
        <f t="shared" ref="B39:B49" si="12">B13*$B$2+B26*$B$3</f>
        <v>2638.8514211128486</v>
      </c>
      <c r="C39" s="20">
        <f t="shared" ref="C39:C49" si="13">C13*$C$2+C26*$C$3</f>
        <v>3778.8087457038932</v>
      </c>
      <c r="D39" s="20">
        <f t="shared" ref="D39:D49" si="14">D13*$D$2+D26*$D$3</f>
        <v>5208.2925680269309</v>
      </c>
    </row>
    <row r="40" spans="1:4" x14ac:dyDescent="0.2">
      <c r="A40" s="5">
        <v>2</v>
      </c>
      <c r="B40" s="20">
        <f t="shared" si="12"/>
        <v>2438.2987131082718</v>
      </c>
      <c r="C40" s="20">
        <f t="shared" si="13"/>
        <v>3967.7491829890878</v>
      </c>
      <c r="D40" s="20">
        <f t="shared" si="14"/>
        <v>5572.8730477888166</v>
      </c>
    </row>
    <row r="41" spans="1:4" x14ac:dyDescent="0.2">
      <c r="A41" s="5">
        <v>3</v>
      </c>
      <c r="B41" s="20">
        <f t="shared" si="12"/>
        <v>2252.9880109120431</v>
      </c>
      <c r="C41" s="20">
        <f t="shared" si="13"/>
        <v>4166.1366421385428</v>
      </c>
      <c r="D41" s="20">
        <f t="shared" si="14"/>
        <v>5962.9741611340332</v>
      </c>
    </row>
    <row r="42" spans="1:4" x14ac:dyDescent="0.2">
      <c r="A42" s="5">
        <v>4</v>
      </c>
      <c r="B42" s="20">
        <f t="shared" si="12"/>
        <v>2081.7609220827276</v>
      </c>
      <c r="C42" s="20">
        <f t="shared" si="13"/>
        <v>4374.4434742454696</v>
      </c>
      <c r="D42" s="20">
        <f t="shared" si="14"/>
        <v>6380.3823524134159</v>
      </c>
    </row>
    <row r="43" spans="1:4" x14ac:dyDescent="0.2">
      <c r="A43" s="5">
        <v>5</v>
      </c>
      <c r="B43" s="20">
        <f t="shared" si="12"/>
        <v>1923.5470920044402</v>
      </c>
      <c r="C43" s="20">
        <f t="shared" si="13"/>
        <v>4593.1656479577432</v>
      </c>
      <c r="D43" s="20">
        <f t="shared" si="14"/>
        <v>6827.0091170823553</v>
      </c>
    </row>
    <row r="44" spans="1:4" x14ac:dyDescent="0.2">
      <c r="A44" s="5">
        <v>6</v>
      </c>
      <c r="B44" s="20">
        <f t="shared" si="12"/>
        <v>1923.5470920044402</v>
      </c>
      <c r="C44" s="20">
        <f t="shared" si="13"/>
        <v>4786.0786051719679</v>
      </c>
      <c r="D44" s="20">
        <f t="shared" si="14"/>
        <v>7086.1888955362838</v>
      </c>
    </row>
    <row r="45" spans="1:4" x14ac:dyDescent="0.2">
      <c r="A45" s="5">
        <v>7</v>
      </c>
      <c r="B45" s="20">
        <f t="shared" si="12"/>
        <v>1923.5470920044402</v>
      </c>
      <c r="C45" s="20">
        <f t="shared" si="13"/>
        <v>4987.0939065891916</v>
      </c>
      <c r="D45" s="20">
        <f t="shared" si="14"/>
        <v>7412.5207269998073</v>
      </c>
    </row>
    <row r="46" spans="1:4" x14ac:dyDescent="0.2">
      <c r="A46" s="5">
        <v>8</v>
      </c>
      <c r="B46" s="20">
        <f t="shared" si="12"/>
        <v>1923.5470920044402</v>
      </c>
      <c r="C46" s="20">
        <f t="shared" si="13"/>
        <v>5196.5518506659382</v>
      </c>
      <c r="D46" s="20">
        <f t="shared" si="14"/>
        <v>7723.8465975337995</v>
      </c>
    </row>
    <row r="47" spans="1:4" x14ac:dyDescent="0.2">
      <c r="A47" s="5">
        <v>9</v>
      </c>
      <c r="B47" s="20">
        <f t="shared" si="12"/>
        <v>1923.5470920044402</v>
      </c>
      <c r="C47" s="20">
        <f t="shared" si="13"/>
        <v>5414.8070283939078</v>
      </c>
      <c r="D47" s="20">
        <f t="shared" si="14"/>
        <v>8048.2481546302206</v>
      </c>
    </row>
    <row r="48" spans="1:4" x14ac:dyDescent="0.2">
      <c r="A48" s="5">
        <v>10</v>
      </c>
      <c r="B48" s="20">
        <f t="shared" si="12"/>
        <v>1923.5470920044402</v>
      </c>
      <c r="C48" s="20">
        <f t="shared" si="13"/>
        <v>5642.2289235864519</v>
      </c>
      <c r="D48" s="20">
        <f t="shared" si="14"/>
        <v>8386.2745771246882</v>
      </c>
    </row>
    <row r="49" spans="1:4" x14ac:dyDescent="0.2">
      <c r="A49" s="5">
        <v>11</v>
      </c>
      <c r="B49" s="20">
        <f t="shared" si="12"/>
        <v>1923.5470920044402</v>
      </c>
      <c r="C49" s="20">
        <f t="shared" si="13"/>
        <v>5743.7890442110083</v>
      </c>
      <c r="D49" s="20">
        <f t="shared" si="14"/>
        <v>8579.1588923985564</v>
      </c>
    </row>
    <row r="51" spans="1:4" x14ac:dyDescent="0.2">
      <c r="A51" s="1" t="s">
        <v>299</v>
      </c>
    </row>
    <row r="52" spans="1:4" x14ac:dyDescent="0.2">
      <c r="A52" s="5">
        <v>1</v>
      </c>
      <c r="B52" s="20">
        <f>B39/((1+'Table G'!$B$12)^A52)</f>
        <v>2442.3756949124145</v>
      </c>
      <c r="C52" s="20">
        <f>C39/((1+'Table G'!$B$12)^A52)</f>
        <v>3497.4574780483531</v>
      </c>
      <c r="D52" s="20">
        <f>D39/((1+'Table G'!$B$12)^A52)</f>
        <v>4820.5090587394434</v>
      </c>
    </row>
    <row r="53" spans="1:4" x14ac:dyDescent="0.2">
      <c r="A53" s="5">
        <v>2</v>
      </c>
      <c r="B53" s="20">
        <f>B40/((1+'Table G'!$B$12)^A53)</f>
        <v>2088.7284006717382</v>
      </c>
      <c r="C53" s="20">
        <f>C40/((1+'Table G'!$B$12)^A53)</f>
        <v>3398.9069348630651</v>
      </c>
      <c r="D53" s="20">
        <f>D40/((1+'Table G'!$B$12)^A53)</f>
        <v>4773.9098354425823</v>
      </c>
    </row>
    <row r="54" spans="1:4" x14ac:dyDescent="0.2">
      <c r="A54" s="5">
        <v>3</v>
      </c>
      <c r="B54" s="20">
        <f>B41/((1+'Table G'!$B$12)^A54)</f>
        <v>1786.2879739839409</v>
      </c>
      <c r="C54" s="20">
        <f>C41/((1+'Table G'!$B$12)^A54)</f>
        <v>3303.133325957343</v>
      </c>
      <c r="D54" s="20">
        <f>D41/((1+'Table G'!$B$12)^A54)</f>
        <v>4727.761080672054</v>
      </c>
    </row>
    <row r="55" spans="1:4" x14ac:dyDescent="0.2">
      <c r="A55" s="5">
        <v>4</v>
      </c>
      <c r="B55" s="20">
        <f>B42/((1+'Table G'!$B$12)^A55)</f>
        <v>1527.6398429654514</v>
      </c>
      <c r="C55" s="20">
        <f>C42/((1+'Table G'!$B$12)^A55)</f>
        <v>3210.058403523069</v>
      </c>
      <c r="D55" s="20">
        <f>D42/((1+'Table G'!$B$12)^A55)</f>
        <v>4682.0584398082156</v>
      </c>
    </row>
    <row r="56" spans="1:4" x14ac:dyDescent="0.2">
      <c r="A56" s="5">
        <v>5</v>
      </c>
      <c r="B56" s="20">
        <f>B43/((1+'Table G'!$B$12)^A56)</f>
        <v>1306.4430393105749</v>
      </c>
      <c r="C56" s="20">
        <f>C43/((1+'Table G'!$B$12)^A56)</f>
        <v>3119.6061246006598</v>
      </c>
      <c r="D56" s="20">
        <f>D43/((1+'Table G'!$B$12)^A56)</f>
        <v>4636.7976003269523</v>
      </c>
    </row>
    <row r="57" spans="1:4" x14ac:dyDescent="0.2">
      <c r="A57" s="5">
        <v>6</v>
      </c>
      <c r="B57" s="20">
        <f>B44/((1+'Table G'!$B$12)^A57)</f>
        <v>1209.1718012126757</v>
      </c>
      <c r="C57" s="20">
        <f>C44/((1+'Table G'!$B$12)^A57)</f>
        <v>3008.6039025593459</v>
      </c>
      <c r="D57" s="20">
        <f>D44/((1+'Table G'!$B$12)^A57)</f>
        <v>4454.4892226267848</v>
      </c>
    </row>
    <row r="58" spans="1:4" x14ac:dyDescent="0.2">
      <c r="A58" s="5">
        <v>7</v>
      </c>
      <c r="B58" s="20">
        <f>B45/((1+'Table G'!$B$12)^A58)</f>
        <v>1119.142894756033</v>
      </c>
      <c r="C58" s="20">
        <f>C45/((1+'Table G'!$B$12)^A58)</f>
        <v>2901.5513757058138</v>
      </c>
      <c r="D58" s="20">
        <f>D45/((1+'Table G'!$B$12)^A58)</f>
        <v>4312.6939487658301</v>
      </c>
    </row>
    <row r="59" spans="1:4" x14ac:dyDescent="0.2">
      <c r="A59" s="5">
        <v>8</v>
      </c>
      <c r="B59" s="20">
        <f>B46/((1+'Table G'!$B$12)^A59)</f>
        <v>1035.817092018523</v>
      </c>
      <c r="C59" s="20">
        <f>C46/((1+'Table G'!$B$12)^A59)</f>
        <v>2798.3080054833622</v>
      </c>
      <c r="D59" s="20">
        <f>D46/((1+'Table G'!$B$12)^A59)</f>
        <v>4159.2391239653398</v>
      </c>
    </row>
    <row r="60" spans="1:4" x14ac:dyDescent="0.2">
      <c r="A60" s="5">
        <v>9</v>
      </c>
      <c r="B60" s="20">
        <f>B47/((1+'Table G'!$B$12)^A60)</f>
        <v>958.69531330188124</v>
      </c>
      <c r="C60" s="20">
        <f>C47/((1+'Table G'!$B$12)^A60)</f>
        <v>2698.7382539960936</v>
      </c>
      <c r="D60" s="20">
        <f>D47/((1+'Table G'!$B$12)^A60)</f>
        <v>4011.2445482653648</v>
      </c>
    </row>
    <row r="61" spans="1:4" x14ac:dyDescent="0.2">
      <c r="A61" s="5">
        <v>10</v>
      </c>
      <c r="B61" s="20">
        <f>B48/((1+'Table G'!$B$12)^A61)</f>
        <v>887.31563789503127</v>
      </c>
      <c r="C61" s="20">
        <f>C48/((1+'Table G'!$B$12)^A61)</f>
        <v>2602.7114060747685</v>
      </c>
      <c r="D61" s="20">
        <f>D48/((1+'Table G'!$B$12)^A61)</f>
        <v>3868.515934387688</v>
      </c>
    </row>
    <row r="62" spans="1:4" x14ac:dyDescent="0.2">
      <c r="A62" s="5">
        <v>11</v>
      </c>
      <c r="B62" s="20">
        <f>(B49/('Table G'!$B$12-B8))*(1/((1+'Table G'!$B$12)^$A$62))</f>
        <v>10208.9066714325</v>
      </c>
      <c r="C62" s="20">
        <f>(C49/('Table G'!$B$12-C8))*(1/((1+'Table G'!$B$12)^$A$62))</f>
        <v>39271.458743504023</v>
      </c>
      <c r="D62" s="20">
        <f>(D49/('Table G'!$B$12-D8))*(1/((1+'Table G'!$B$12)^$A$62))</f>
        <v>63763.037014947389</v>
      </c>
    </row>
    <row r="63" spans="1:4" x14ac:dyDescent="0.2">
      <c r="A63" s="1" t="s">
        <v>300</v>
      </c>
      <c r="B63" s="19">
        <f t="shared" ref="B63:D63" si="15">SUM(B52:B62)</f>
        <v>24570.524362460768</v>
      </c>
      <c r="C63" s="19">
        <f t="shared" si="15"/>
        <v>69810.533954315906</v>
      </c>
      <c r="D63" s="19">
        <f t="shared" si="15"/>
        <v>108210.25580794763</v>
      </c>
    </row>
    <row r="65" spans="1:4" x14ac:dyDescent="0.2">
      <c r="A65" s="1" t="s">
        <v>264</v>
      </c>
      <c r="B65" s="22">
        <f t="shared" ref="B65:D65" si="16">(B63-B9)/B10</f>
        <v>55.968010838411843</v>
      </c>
      <c r="C65" s="22">
        <f t="shared" si="16"/>
        <v>189.7747743758128</v>
      </c>
      <c r="D65" s="22">
        <f t="shared" si="16"/>
        <v>295.24089520825072</v>
      </c>
    </row>
    <row r="66" spans="1:4" x14ac:dyDescent="0.2">
      <c r="A66" s="1" t="s">
        <v>301</v>
      </c>
      <c r="B66" s="11">
        <v>0.1</v>
      </c>
      <c r="C66" s="11">
        <f>1-B66-D66</f>
        <v>0.8</v>
      </c>
      <c r="D66" s="11">
        <v>0.1</v>
      </c>
    </row>
    <row r="67" spans="1:4" x14ac:dyDescent="0.2">
      <c r="A67" s="1" t="s">
        <v>302</v>
      </c>
      <c r="B67" s="22">
        <f>B65*B66+C65*C66+D65*D66</f>
        <v>186.9407101053165</v>
      </c>
    </row>
    <row r="69" spans="1:4" x14ac:dyDescent="0.2">
      <c r="A69" s="1" t="s">
        <v>303</v>
      </c>
      <c r="B69" s="22">
        <f>(('Bridge YTD'!F5/402.5)*(1+C6)^5)*(1+C7)^5</f>
        <v>16.926569693399429</v>
      </c>
      <c r="D69" s="22"/>
    </row>
    <row r="70" spans="1:4" x14ac:dyDescent="0.2">
      <c r="A70" s="1" t="s">
        <v>304</v>
      </c>
      <c r="B70" s="22">
        <f>1/('Table G'!B9-C8)</f>
        <v>15.372833960975992</v>
      </c>
    </row>
    <row r="71" spans="1:4" x14ac:dyDescent="0.2">
      <c r="A71" s="1" t="s">
        <v>305</v>
      </c>
      <c r="B71" s="22">
        <f>B69*B70</f>
        <v>260.20934542551771</v>
      </c>
      <c r="D71" s="20"/>
    </row>
    <row r="72" spans="1:4" x14ac:dyDescent="0.2">
      <c r="A72" s="1" t="s">
        <v>306</v>
      </c>
      <c r="B72" s="11">
        <f>B71/'Table G'!B16-1</f>
        <v>0.15489479128985706</v>
      </c>
    </row>
    <row r="73" spans="1:4" x14ac:dyDescent="0.2">
      <c r="A73" s="1" t="s">
        <v>307</v>
      </c>
      <c r="B73" s="11">
        <f>(B71/'Table G'!B16)^(1/10)-1</f>
        <v>1.4505117880859508E-2</v>
      </c>
    </row>
    <row r="75" spans="1:4" x14ac:dyDescent="0.2">
      <c r="A75" s="1" t="s">
        <v>308</v>
      </c>
      <c r="B75" s="22">
        <f>B67/1.25</f>
        <v>149.55256808425321</v>
      </c>
      <c r="C75" s="22"/>
      <c r="D75" s="20"/>
    </row>
  </sheetData>
  <hyperlinks>
    <hyperlink ref="E6" r:id="rId1" xr:uid="{00000000-0004-0000-0900-000000000000}"/>
    <hyperlink ref="E8" r:id="rId2" xr:uid="{00000000-0004-0000-0900-000001000000}"/>
    <hyperlink ref="E10" r:id="rId3" xr:uid="{00000000-0004-0000-09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Grid</vt:lpstr>
      <vt:lpstr>Bridge YTD</vt:lpstr>
      <vt:lpstr>Table A</vt:lpstr>
      <vt:lpstr>Table B</vt:lpstr>
      <vt:lpstr>Table C</vt:lpstr>
      <vt:lpstr>Table D</vt:lpstr>
      <vt:lpstr>Table E</vt:lpstr>
      <vt:lpstr>Table F</vt:lpstr>
      <vt:lpstr>Table G</vt:lpstr>
      <vt:lpstr>Table 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 Åberg</cp:lastModifiedBy>
  <dcterms:created xsi:type="dcterms:W3CDTF">2026-10-05T15:18:00Z</dcterms:created>
  <dcterms:modified xsi:type="dcterms:W3CDTF">2026-10-07T17:56:35Z</dcterms:modified>
</cp:coreProperties>
</file>