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victoraberg/Downloads/"/>
    </mc:Choice>
  </mc:AlternateContent>
  <xr:revisionPtr revIDLastSave="0" documentId="8_{82C55A92-B5B4-A846-B894-D125982B788D}" xr6:coauthVersionLast="47" xr6:coauthVersionMax="47" xr10:uidLastSave="{00000000-0000-0000-0000-000000000000}"/>
  <bookViews>
    <workbookView xWindow="0" yWindow="660" windowWidth="29400" windowHeight="17160" activeTab="3" xr2:uid="{00000000-000D-0000-FFFF-FFFF00000000}"/>
  </bookViews>
  <sheets>
    <sheet name="Table B" sheetId="2" r:id="rId1"/>
    <sheet name="Table C" sheetId="3" r:id="rId2"/>
    <sheet name="Table G" sheetId="4" r:id="rId3"/>
    <sheet name="Table H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5" l="1"/>
  <c r="D17" i="5"/>
  <c r="C17" i="5"/>
  <c r="D16" i="5"/>
  <c r="C16" i="5"/>
  <c r="D15" i="5"/>
  <c r="C15" i="5"/>
  <c r="D14" i="5"/>
  <c r="C14" i="5"/>
  <c r="D13" i="5"/>
  <c r="C13" i="5"/>
  <c r="D10" i="5"/>
  <c r="C10" i="5"/>
  <c r="D9" i="5"/>
  <c r="C9" i="5"/>
  <c r="B9" i="5"/>
  <c r="D7" i="5"/>
  <c r="C7" i="5"/>
  <c r="B6" i="5"/>
  <c r="D5" i="5"/>
  <c r="C5" i="5"/>
  <c r="B5" i="5"/>
  <c r="D4" i="5"/>
  <c r="C4" i="5"/>
  <c r="B4" i="5"/>
  <c r="D3" i="5"/>
  <c r="C3" i="5"/>
  <c r="B3" i="5"/>
  <c r="D8" i="5"/>
  <c r="C8" i="5"/>
  <c r="B3" i="4"/>
  <c r="B4" i="4" s="1"/>
  <c r="N29" i="3"/>
  <c r="L29" i="3"/>
  <c r="I29" i="3"/>
  <c r="F29" i="3"/>
  <c r="N28" i="3"/>
  <c r="L28" i="3"/>
  <c r="I28" i="3"/>
  <c r="F28" i="3"/>
  <c r="N27" i="3"/>
  <c r="L27" i="3"/>
  <c r="I27" i="3"/>
  <c r="F27" i="3"/>
  <c r="N21" i="3"/>
  <c r="L21" i="3"/>
  <c r="I21" i="3"/>
  <c r="F21" i="3"/>
  <c r="N20" i="3"/>
  <c r="L20" i="3"/>
  <c r="I20" i="3"/>
  <c r="F20" i="3"/>
  <c r="N19" i="3"/>
  <c r="L19" i="3"/>
  <c r="I19" i="3"/>
  <c r="F19" i="3"/>
  <c r="N13" i="3"/>
  <c r="L13" i="3"/>
  <c r="I13" i="3"/>
  <c r="F13" i="3"/>
  <c r="N12" i="3"/>
  <c r="L12" i="3"/>
  <c r="I12" i="3"/>
  <c r="F12" i="3"/>
  <c r="N11" i="3"/>
  <c r="L11" i="3"/>
  <c r="I11" i="3"/>
  <c r="F11" i="3"/>
  <c r="N5" i="3"/>
  <c r="L5" i="3"/>
  <c r="I5" i="3"/>
  <c r="F5" i="3"/>
  <c r="N4" i="3"/>
  <c r="L4" i="3"/>
  <c r="I4" i="3"/>
  <c r="F4" i="3"/>
  <c r="N3" i="3"/>
  <c r="L3" i="3"/>
  <c r="I3" i="3"/>
  <c r="F3" i="3"/>
  <c r="B81" i="2"/>
  <c r="B80" i="2"/>
  <c r="B77" i="2"/>
  <c r="K65" i="2"/>
  <c r="J65" i="2"/>
  <c r="I65" i="2"/>
  <c r="H65" i="2"/>
  <c r="G65" i="2"/>
  <c r="F65" i="2"/>
  <c r="E65" i="2"/>
  <c r="D65" i="2"/>
  <c r="C65" i="2"/>
  <c r="K59" i="2"/>
  <c r="J59" i="2"/>
  <c r="I59" i="2"/>
  <c r="H59" i="2"/>
  <c r="G59" i="2"/>
  <c r="F59" i="2"/>
  <c r="E59" i="2"/>
  <c r="D59" i="2"/>
  <c r="C59" i="2"/>
  <c r="K56" i="2"/>
  <c r="J56" i="2"/>
  <c r="I56" i="2"/>
  <c r="H56" i="2"/>
  <c r="G56" i="2"/>
  <c r="F56" i="2"/>
  <c r="E56" i="2"/>
  <c r="D56" i="2"/>
  <c r="C56" i="2"/>
  <c r="K46" i="2"/>
  <c r="K47" i="2" s="1"/>
  <c r="K48" i="2" s="1"/>
  <c r="J46" i="2"/>
  <c r="J47" i="2" s="1"/>
  <c r="I46" i="2"/>
  <c r="I47" i="2" s="1"/>
  <c r="H46" i="2"/>
  <c r="H47" i="2" s="1"/>
  <c r="G46" i="2"/>
  <c r="G47" i="2" s="1"/>
  <c r="F46" i="2"/>
  <c r="F47" i="2" s="1"/>
  <c r="E46" i="2"/>
  <c r="E47" i="2" s="1"/>
  <c r="D46" i="2"/>
  <c r="D47" i="2" s="1"/>
  <c r="C46" i="2"/>
  <c r="C47" i="2" s="1"/>
  <c r="K43" i="2"/>
  <c r="K44" i="2" s="1"/>
  <c r="J43" i="2"/>
  <c r="J44" i="2" s="1"/>
  <c r="I43" i="2"/>
  <c r="I44" i="2" s="1"/>
  <c r="H43" i="2"/>
  <c r="H44" i="2" s="1"/>
  <c r="G43" i="2"/>
  <c r="G44" i="2" s="1"/>
  <c r="F43" i="2"/>
  <c r="F44" i="2" s="1"/>
  <c r="E43" i="2"/>
  <c r="E44" i="2" s="1"/>
  <c r="D43" i="2"/>
  <c r="D44" i="2" s="1"/>
  <c r="C43" i="2"/>
  <c r="C44" i="2" s="1"/>
  <c r="K16" i="2"/>
  <c r="J16" i="2"/>
  <c r="I16" i="2"/>
  <c r="H16" i="2"/>
  <c r="G16" i="2"/>
  <c r="G18" i="2" s="1"/>
  <c r="F16" i="2"/>
  <c r="F18" i="2" s="1"/>
  <c r="E16" i="2"/>
  <c r="E18" i="2" s="1"/>
  <c r="D16" i="2"/>
  <c r="D18" i="2" s="1"/>
  <c r="C16" i="2"/>
  <c r="C18" i="2" s="1"/>
  <c r="K12" i="2"/>
  <c r="J12" i="2"/>
  <c r="I12" i="2"/>
  <c r="H12" i="2"/>
  <c r="G12" i="2"/>
  <c r="F12" i="2"/>
  <c r="E12" i="2"/>
  <c r="D12" i="2"/>
  <c r="C12" i="2"/>
  <c r="K9" i="2"/>
  <c r="K54" i="2" s="1"/>
  <c r="J9" i="2"/>
  <c r="J54" i="2" s="1"/>
  <c r="I9" i="2"/>
  <c r="I54" i="2" s="1"/>
  <c r="H9" i="2"/>
  <c r="H54" i="2" s="1"/>
  <c r="G9" i="2"/>
  <c r="G54" i="2" s="1"/>
  <c r="F9" i="2"/>
  <c r="F54" i="2" s="1"/>
  <c r="E9" i="2"/>
  <c r="E54" i="2" s="1"/>
  <c r="D9" i="2"/>
  <c r="D54" i="2" s="1"/>
  <c r="C9" i="2"/>
  <c r="C54" i="2" s="1"/>
  <c r="K6" i="2"/>
  <c r="K74" i="2" s="1"/>
  <c r="J6" i="2"/>
  <c r="J74" i="2" s="1"/>
  <c r="I6" i="2"/>
  <c r="I74" i="2" s="1"/>
  <c r="H6" i="2"/>
  <c r="H74" i="2" s="1"/>
  <c r="G6" i="2"/>
  <c r="G74" i="2" s="1"/>
  <c r="F6" i="2"/>
  <c r="F74" i="2" s="1"/>
  <c r="E6" i="2"/>
  <c r="E74" i="2" s="1"/>
  <c r="D6" i="2"/>
  <c r="D74" i="2" s="1"/>
  <c r="C6" i="2"/>
  <c r="C74" i="2" s="1"/>
  <c r="D22" i="5" l="1"/>
  <c r="D21" i="5"/>
  <c r="D18" i="5"/>
  <c r="D19" i="5"/>
  <c r="D20" i="5"/>
  <c r="C18" i="5"/>
  <c r="C19" i="5"/>
  <c r="C20" i="5"/>
  <c r="C21" i="5"/>
  <c r="C22" i="5"/>
  <c r="B13" i="5"/>
  <c r="B14" i="5"/>
  <c r="B16" i="5"/>
  <c r="B17" i="5"/>
  <c r="B15" i="5"/>
  <c r="D29" i="5"/>
  <c r="D32" i="5"/>
  <c r="D35" i="5"/>
  <c r="D36" i="5" s="1"/>
  <c r="D28" i="5"/>
  <c r="D27" i="5"/>
  <c r="D34" i="5"/>
  <c r="D26" i="5"/>
  <c r="D30" i="5"/>
  <c r="D31" i="5" s="1"/>
  <c r="D33" i="5"/>
  <c r="C30" i="5"/>
  <c r="C29" i="5"/>
  <c r="C28" i="5"/>
  <c r="C35" i="5"/>
  <c r="C36" i="5" s="1"/>
  <c r="C27" i="5"/>
  <c r="C26" i="5"/>
  <c r="C34" i="5"/>
  <c r="C31" i="5"/>
  <c r="C33" i="5"/>
  <c r="C32" i="5"/>
  <c r="B30" i="5"/>
  <c r="B33" i="5"/>
  <c r="B32" i="5"/>
  <c r="B31" i="5"/>
  <c r="B34" i="5"/>
  <c r="B26" i="5"/>
  <c r="B27" i="5"/>
  <c r="B35" i="5"/>
  <c r="B36" i="5" s="1"/>
  <c r="B28" i="5"/>
  <c r="B29" i="5"/>
  <c r="V29" i="3"/>
  <c r="W29" i="3"/>
  <c r="X29" i="3"/>
  <c r="O29" i="3"/>
  <c r="U29" i="3"/>
  <c r="S29" i="3"/>
  <c r="P29" i="3"/>
  <c r="Q29" i="3"/>
  <c r="R29" i="3"/>
  <c r="T29" i="3"/>
  <c r="X28" i="3"/>
  <c r="V28" i="3"/>
  <c r="W28" i="3"/>
  <c r="U28" i="3"/>
  <c r="T28" i="3"/>
  <c r="S28" i="3"/>
  <c r="R28" i="3"/>
  <c r="Q28" i="3"/>
  <c r="P28" i="3"/>
  <c r="O28" i="3"/>
  <c r="V27" i="3"/>
  <c r="X27" i="3"/>
  <c r="W27" i="3"/>
  <c r="R27" i="3"/>
  <c r="U27" i="3"/>
  <c r="T27" i="3"/>
  <c r="S27" i="3"/>
  <c r="Q27" i="3"/>
  <c r="P27" i="3"/>
  <c r="O27" i="3"/>
  <c r="X21" i="3"/>
  <c r="W21" i="3"/>
  <c r="V21" i="3"/>
  <c r="U21" i="3"/>
  <c r="T21" i="3"/>
  <c r="S21" i="3"/>
  <c r="R21" i="3"/>
  <c r="Q21" i="3"/>
  <c r="P21" i="3"/>
  <c r="O21" i="3"/>
  <c r="V20" i="3"/>
  <c r="X20" i="3"/>
  <c r="W20" i="3"/>
  <c r="O20" i="3"/>
  <c r="U20" i="3"/>
  <c r="T20" i="3"/>
  <c r="S20" i="3"/>
  <c r="R20" i="3"/>
  <c r="Q20" i="3"/>
  <c r="P20" i="3"/>
  <c r="X19" i="3"/>
  <c r="W19" i="3"/>
  <c r="V19" i="3"/>
  <c r="U19" i="3"/>
  <c r="T19" i="3"/>
  <c r="S19" i="3"/>
  <c r="R19" i="3"/>
  <c r="Q19" i="3"/>
  <c r="P19" i="3"/>
  <c r="O19" i="3"/>
  <c r="X13" i="3"/>
  <c r="W13" i="3"/>
  <c r="V13" i="3"/>
  <c r="O13" i="3"/>
  <c r="U13" i="3"/>
  <c r="T13" i="3"/>
  <c r="S13" i="3"/>
  <c r="R13" i="3"/>
  <c r="Q13" i="3"/>
  <c r="P13" i="3"/>
  <c r="V12" i="3"/>
  <c r="W12" i="3"/>
  <c r="X12" i="3"/>
  <c r="O12" i="3"/>
  <c r="U12" i="3"/>
  <c r="T12" i="3"/>
  <c r="S12" i="3"/>
  <c r="R12" i="3"/>
  <c r="Q12" i="3"/>
  <c r="P12" i="3"/>
  <c r="X11" i="3"/>
  <c r="W11" i="3"/>
  <c r="V11" i="3"/>
  <c r="R11" i="3"/>
  <c r="Q11" i="3"/>
  <c r="P11" i="3"/>
  <c r="O11" i="3"/>
  <c r="U11" i="3"/>
  <c r="T11" i="3"/>
  <c r="S11" i="3"/>
  <c r="W5" i="3"/>
  <c r="V5" i="3"/>
  <c r="X5" i="3"/>
  <c r="U5" i="3"/>
  <c r="T5" i="3"/>
  <c r="S5" i="3"/>
  <c r="R5" i="3"/>
  <c r="Q5" i="3"/>
  <c r="P5" i="3"/>
  <c r="O5" i="3"/>
  <c r="X4" i="3"/>
  <c r="V4" i="3"/>
  <c r="W4" i="3"/>
  <c r="U4" i="3"/>
  <c r="S4" i="3"/>
  <c r="R4" i="3"/>
  <c r="Q4" i="3"/>
  <c r="P4" i="3"/>
  <c r="O4" i="3"/>
  <c r="T4" i="3"/>
  <c r="X3" i="3"/>
  <c r="D38" i="3" s="1"/>
  <c r="W3" i="3"/>
  <c r="V3" i="3"/>
  <c r="B38" i="3" s="1"/>
  <c r="U3" i="3"/>
  <c r="H34" i="3" s="1"/>
  <c r="T3" i="3"/>
  <c r="G34" i="3" s="1"/>
  <c r="S3" i="3"/>
  <c r="F34" i="3" s="1"/>
  <c r="R3" i="3"/>
  <c r="E34" i="3" s="1"/>
  <c r="Q3" i="3"/>
  <c r="D34" i="3" s="1"/>
  <c r="P3" i="3"/>
  <c r="C34" i="3" s="1"/>
  <c r="O3" i="3"/>
  <c r="B34" i="3" s="1"/>
  <c r="B35" i="3" s="1"/>
  <c r="J48" i="2"/>
  <c r="K50" i="2" s="1"/>
  <c r="K49" i="2"/>
  <c r="I48" i="2"/>
  <c r="J50" i="2" s="1"/>
  <c r="J49" i="2"/>
  <c r="H48" i="2"/>
  <c r="I50" i="2" s="1"/>
  <c r="I49" i="2"/>
  <c r="G48" i="2"/>
  <c r="H50" i="2" s="1"/>
  <c r="H49" i="2"/>
  <c r="F48" i="2"/>
  <c r="G50" i="2" s="1"/>
  <c r="G49" i="2"/>
  <c r="E48" i="2"/>
  <c r="F50" i="2" s="1"/>
  <c r="F49" i="2"/>
  <c r="D48" i="2"/>
  <c r="E50" i="2" s="1"/>
  <c r="E49" i="2"/>
  <c r="C48" i="2"/>
  <c r="D50" i="2" s="1"/>
  <c r="D49" i="2"/>
  <c r="K45" i="2"/>
  <c r="K58" i="2"/>
  <c r="K60" i="2"/>
  <c r="B79" i="2"/>
  <c r="J45" i="2"/>
  <c r="J58" i="2"/>
  <c r="J60" i="2"/>
  <c r="I45" i="2"/>
  <c r="I58" i="2"/>
  <c r="C2" i="5" s="1"/>
  <c r="C43" i="5" s="1"/>
  <c r="C56" i="5" s="1"/>
  <c r="I60" i="2"/>
  <c r="H45" i="2"/>
  <c r="H58" i="2"/>
  <c r="H60" i="2"/>
  <c r="G45" i="2"/>
  <c r="G58" i="2"/>
  <c r="G60" i="2"/>
  <c r="F45" i="2"/>
  <c r="F58" i="2"/>
  <c r="F60" i="2"/>
  <c r="E45" i="2"/>
  <c r="E58" i="2"/>
  <c r="E60" i="2"/>
  <c r="D45" i="2"/>
  <c r="D58" i="2"/>
  <c r="D60" i="2"/>
  <c r="C45" i="2"/>
  <c r="C58" i="2"/>
  <c r="C60" i="2"/>
  <c r="K18" i="2"/>
  <c r="K19" i="2"/>
  <c r="B78" i="2" s="1"/>
  <c r="J18" i="2"/>
  <c r="B5" i="4" s="1"/>
  <c r="B9" i="4" s="1"/>
  <c r="B12" i="4" s="1"/>
  <c r="J19" i="2"/>
  <c r="I18" i="2"/>
  <c r="I19" i="2"/>
  <c r="H18" i="2"/>
  <c r="H19" i="2"/>
  <c r="K51" i="2"/>
  <c r="K57" i="2"/>
  <c r="K55" i="2"/>
  <c r="J55" i="2"/>
  <c r="J51" i="2"/>
  <c r="J57" i="2"/>
  <c r="I51" i="2"/>
  <c r="I55" i="2"/>
  <c r="I57" i="2"/>
  <c r="H55" i="2"/>
  <c r="H57" i="2"/>
  <c r="H51" i="2"/>
  <c r="G55" i="2"/>
  <c r="G51" i="2"/>
  <c r="G57" i="2"/>
  <c r="F51" i="2"/>
  <c r="F57" i="2"/>
  <c r="F55" i="2"/>
  <c r="E57" i="2"/>
  <c r="E51" i="2"/>
  <c r="E55" i="2"/>
  <c r="D57" i="2"/>
  <c r="D51" i="2"/>
  <c r="D55" i="2"/>
  <c r="C51" i="2"/>
  <c r="C55" i="2"/>
  <c r="C57" i="2"/>
  <c r="D23" i="5" l="1"/>
  <c r="C23" i="5"/>
  <c r="C49" i="5" s="1"/>
  <c r="C62" i="5" s="1"/>
  <c r="C48" i="5"/>
  <c r="C61" i="5" s="1"/>
  <c r="B18" i="5"/>
  <c r="B19" i="5"/>
  <c r="B20" i="5"/>
  <c r="B21" i="5"/>
  <c r="B22" i="5"/>
  <c r="C39" i="3"/>
  <c r="B39" i="3"/>
  <c r="C39" i="5"/>
  <c r="C52" i="5" s="1"/>
  <c r="C40" i="5"/>
  <c r="C53" i="5" s="1"/>
  <c r="C41" i="5"/>
  <c r="C54" i="5" s="1"/>
  <c r="C42" i="5"/>
  <c r="C55" i="5" s="1"/>
  <c r="B2" i="5"/>
  <c r="B43" i="5" s="1"/>
  <c r="B56" i="5" s="1"/>
  <c r="D2" i="5"/>
  <c r="D48" i="5" s="1"/>
  <c r="D61" i="5" s="1"/>
  <c r="K61" i="2"/>
  <c r="K62" i="2"/>
  <c r="K63" i="2"/>
  <c r="K64" i="2"/>
  <c r="J61" i="2"/>
  <c r="J62" i="2"/>
  <c r="J63" i="2"/>
  <c r="J64" i="2"/>
  <c r="I61" i="2"/>
  <c r="I62" i="2"/>
  <c r="I63" i="2"/>
  <c r="I64" i="2"/>
  <c r="H61" i="2"/>
  <c r="H62" i="2"/>
  <c r="H63" i="2"/>
  <c r="H64" i="2"/>
  <c r="G61" i="2"/>
  <c r="G62" i="2"/>
  <c r="G63" i="2"/>
  <c r="F61" i="2"/>
  <c r="F62" i="2"/>
  <c r="F63" i="2"/>
  <c r="E61" i="2"/>
  <c r="E62" i="2"/>
  <c r="D61" i="2"/>
  <c r="D62" i="2"/>
  <c r="C44" i="5"/>
  <c r="C57" i="5" s="1"/>
  <c r="C45" i="5"/>
  <c r="C58" i="5" s="1"/>
  <c r="C46" i="5"/>
  <c r="C59" i="5" s="1"/>
  <c r="C47" i="5"/>
  <c r="C60" i="5" s="1"/>
  <c r="G35" i="3"/>
  <c r="F35" i="3"/>
  <c r="H35" i="3"/>
  <c r="C35" i="3"/>
  <c r="D35" i="3"/>
  <c r="D39" i="3"/>
  <c r="E35" i="3"/>
  <c r="B23" i="5" l="1"/>
  <c r="B49" i="5" s="1"/>
  <c r="B62" i="5" s="1"/>
  <c r="B48" i="5"/>
  <c r="B61" i="5" s="1"/>
  <c r="B41" i="5"/>
  <c r="B54" i="5" s="1"/>
  <c r="B42" i="5"/>
  <c r="B55" i="5" s="1"/>
  <c r="B40" i="5"/>
  <c r="B53" i="5" s="1"/>
  <c r="B39" i="5"/>
  <c r="B52" i="5" s="1"/>
  <c r="D43" i="5"/>
  <c r="D56" i="5" s="1"/>
  <c r="D46" i="5"/>
  <c r="D59" i="5" s="1"/>
  <c r="D45" i="5"/>
  <c r="D58" i="5" s="1"/>
  <c r="D44" i="5"/>
  <c r="D57" i="5" s="1"/>
  <c r="D47" i="5"/>
  <c r="D60" i="5" s="1"/>
  <c r="D39" i="5"/>
  <c r="D52" i="5" s="1"/>
  <c r="D40" i="5"/>
  <c r="D53" i="5" s="1"/>
  <c r="D41" i="5"/>
  <c r="D54" i="5" s="1"/>
  <c r="D42" i="5"/>
  <c r="D55" i="5" s="1"/>
  <c r="D49" i="5"/>
  <c r="D62" i="5" s="1"/>
  <c r="B44" i="5"/>
  <c r="B57" i="5" s="1"/>
  <c r="B45" i="5"/>
  <c r="B58" i="5" s="1"/>
  <c r="B46" i="5"/>
  <c r="B59" i="5" s="1"/>
  <c r="B47" i="5"/>
  <c r="B60" i="5" s="1"/>
  <c r="C63" i="5"/>
  <c r="C65" i="5" s="1"/>
  <c r="B63" i="5" l="1"/>
  <c r="B65" i="5" s="1"/>
  <c r="D63" i="5"/>
  <c r="D65" i="5" s="1"/>
  <c r="B67" i="5" l="1"/>
  <c r="B69" i="5" s="1"/>
</calcChain>
</file>

<file path=xl/sharedStrings.xml><?xml version="1.0" encoding="utf-8"?>
<sst xmlns="http://schemas.openxmlformats.org/spreadsheetml/2006/main" count="409" uniqueCount="193">
  <si>
    <t>FY2023: CEO Black, CFO McGuire</t>
  </si>
  <si>
    <t>Value</t>
  </si>
  <si>
    <t>Source</t>
  </si>
  <si>
    <t>Note</t>
  </si>
  <si>
    <t>Unlevered beta, adjusted for cash</t>
  </si>
  <si>
    <t>https://pages.stern.nyu.edu/~adamodar/New_Home_Page/datafile/Betas.html</t>
  </si>
  <si>
    <t>Line item</t>
  </si>
  <si>
    <t>Metric</t>
  </si>
  <si>
    <t>Unit</t>
  </si>
  <si>
    <t>FY2018</t>
  </si>
  <si>
    <t>Initial low</t>
  </si>
  <si>
    <t>FY2019</t>
  </si>
  <si>
    <t>FY2020</t>
  </si>
  <si>
    <t>Initial high</t>
  </si>
  <si>
    <t>FY2021</t>
  </si>
  <si>
    <t>Q1 low</t>
  </si>
  <si>
    <t>FY2022</t>
  </si>
  <si>
    <t>Q1 high</t>
  </si>
  <si>
    <t>FY2023</t>
  </si>
  <si>
    <t>Q1 move</t>
  </si>
  <si>
    <t>FY2024</t>
  </si>
  <si>
    <t>Q2 low</t>
  </si>
  <si>
    <t>FY2025</t>
  </si>
  <si>
    <t>Q2 high</t>
  </si>
  <si>
    <t>FY2026</t>
  </si>
  <si>
    <t>Q2 move</t>
  </si>
  <si>
    <t>Q3 low</t>
  </si>
  <si>
    <t>Q3 high</t>
  </si>
  <si>
    <t>Q3 move</t>
  </si>
  <si>
    <t>Full year actual</t>
  </si>
  <si>
    <t>Actual vs. initial</t>
  </si>
  <si>
    <t>Raised</t>
  </si>
  <si>
    <t>Floor up</t>
  </si>
  <si>
    <t>Narrowed</t>
  </si>
  <si>
    <t>Source Note</t>
  </si>
  <si>
    <t>Unchanged</t>
  </si>
  <si>
    <t>Business &amp; Consumer Services</t>
  </si>
  <si>
    <t>Trimmed top</t>
  </si>
  <si>
    <t>Market capitalization</t>
  </si>
  <si>
    <t>Cut</t>
  </si>
  <si>
    <t>Mixed</t>
  </si>
  <si>
    <t>Beat</t>
  </si>
  <si>
    <t>Missed</t>
  </si>
  <si>
    <t>In range</t>
  </si>
  <si>
    <t>As Reported, Income Statement</t>
  </si>
  <si>
    <t>Revenue growth, %</t>
  </si>
  <si>
    <t>Annual reports for respective fiscal year</t>
  </si>
  <si>
    <t>Revenue, total</t>
  </si>
  <si>
    <t>MUSD</t>
  </si>
  <si>
    <t>https://www.financecharts.com/stocks/ADP/summary/market-cap#google_vignette</t>
  </si>
  <si>
    <t>Financial statements</t>
  </si>
  <si>
    <t>Revenue, PEO Services (external clients)</t>
  </si>
  <si>
    <t>Analysis of Reportable Segments</t>
  </si>
  <si>
    <t>Revenue PEO zero-margin pass throughs</t>
  </si>
  <si>
    <t>Revenue, PEO excluding pass throughs</t>
  </si>
  <si>
    <t>Debt ratio</t>
  </si>
  <si>
    <t>https://d18rn0p25nwr6d.cloudfront.net/CIK-0000008670/f67fbd2f-82f7-4947-99e2-60d97247fb15.pdf</t>
  </si>
  <si>
    <t>Interest on funds held for clients, total</t>
  </si>
  <si>
    <t>Only corporate debt, long-term debt and lease liabilities and short term borrowings, thus excluding client funds, and assuming book value of debt = market value.</t>
  </si>
  <si>
    <t>Levered beta</t>
  </si>
  <si>
    <t>Cost of revenue, total</t>
  </si>
  <si>
    <t>Gross profit</t>
  </si>
  <si>
    <t>Assuming effective tax rate as of FY2025.</t>
  </si>
  <si>
    <t>Risk-free rate</t>
  </si>
  <si>
    <t>https://ycharts.com/indicators/10_year_treasury_rate</t>
  </si>
  <si>
    <t>Interest expense for short term financing</t>
  </si>
  <si>
    <t>Operating expenses, total</t>
  </si>
  <si>
    <t>Equity risk premium</t>
  </si>
  <si>
    <t>https://pages.stern.nyu.edu/~adamodar/New_Home_Page/datafile/ctryprem.html</t>
  </si>
  <si>
    <t>Operating profit</t>
  </si>
  <si>
    <t>Cost of equity</t>
  </si>
  <si>
    <t>EBT, Employer Services</t>
  </si>
  <si>
    <t>EBT, PEO Services</t>
  </si>
  <si>
    <t>EBT, Other (overhead costs)</t>
  </si>
  <si>
    <t>Cost of debt</t>
  </si>
  <si>
    <t>EBT, total</t>
  </si>
  <si>
    <t>WACC</t>
  </si>
  <si>
    <t>Assuming effective tax rate FY2025</t>
  </si>
  <si>
    <t>Provision for income taxes</t>
  </si>
  <si>
    <t>Effective tax rate, as reported</t>
  </si>
  <si>
    <t>%</t>
  </si>
  <si>
    <t>Net earnings</t>
  </si>
  <si>
    <t>Shares outstanding, diluted</t>
  </si>
  <si>
    <t>Million</t>
  </si>
  <si>
    <t>As Reported, Balance Sheet</t>
  </si>
  <si>
    <t>Cash and equivalents (corporate)</t>
  </si>
  <si>
    <t>Note: Corporate Investments and Funds Held for Clients</t>
  </si>
  <si>
    <t>Short term marketable securities (corporate)</t>
  </si>
  <si>
    <t>Goodwill</t>
  </si>
  <si>
    <t>Obligations under reverse repurchase agreements</t>
  </si>
  <si>
    <t>Obligations under commercial paper borrowings</t>
  </si>
  <si>
    <t>Long term debt</t>
  </si>
  <si>
    <t>Operating lease liability, recognised</t>
  </si>
  <si>
    <t>Total equity</t>
  </si>
  <si>
    <t>https://www.cbo.gov/publication/62105</t>
  </si>
  <si>
    <t>As Resported, Cash Flow Statement</t>
  </si>
  <si>
    <t>Operating cash flow</t>
  </si>
  <si>
    <t>Capital expenditures</t>
  </si>
  <si>
    <t>Additions to intangibles</t>
  </si>
  <si>
    <t>Acquisitions, net of cash acquired</t>
  </si>
  <si>
    <t>Repurchases of common stock</t>
  </si>
  <si>
    <t>Dividends paid</t>
  </si>
  <si>
    <t>Proceeds from issuance of debt</t>
  </si>
  <si>
    <t>Payments of debt</t>
  </si>
  <si>
    <t>Dervided Measures From Reported Inputs</t>
  </si>
  <si>
    <t>Free cash flow, OFC less capex</t>
  </si>
  <si>
    <t>Adjusted EBIT margin expansion, BPS</t>
  </si>
  <si>
    <t>Free cash flow after intangible additions</t>
  </si>
  <si>
    <t>Free cash flow per diluted share</t>
  </si>
  <si>
    <t>USD</t>
  </si>
  <si>
    <t>Adjusted diluted EPS growth, %</t>
  </si>
  <si>
    <t>Total debt</t>
  </si>
  <si>
    <t>Page</t>
  </si>
  <si>
    <t>Invested capital, excluding client funds</t>
  </si>
  <si>
    <t>p. 3</t>
  </si>
  <si>
    <t>p. 1</t>
  </si>
  <si>
    <t>https://s205.q4cdn.com/887941133/files/doc_financials/2022/q4/ADP-4Q22-Earnings-Release.pdf</t>
  </si>
  <si>
    <t>Invested capital, excluding client funds and goodwill</t>
  </si>
  <si>
    <t>https://s205.q4cdn.com/887941133/files/doc_financials/2023/q1/ADP-1Q23-Earnings-Release.pdf</t>
  </si>
  <si>
    <t>https://s205.q4cdn.com/887941133/files/doc_financials/2023/q2/ADP-2Q23-Earnings-Release.pdf</t>
  </si>
  <si>
    <t>Average invested capital, excluding client funds and goodwill</t>
  </si>
  <si>
    <t>https://s205.q4cdn.com/887941133/files/doc_financials/2023/q3/ADP-3Q23-Earnings-Release.pdf</t>
  </si>
  <si>
    <t>https://s205.q4cdn.com/887941133/files/doc_financials/2023/q4/ADP-4Q23-Earnings-Release.pdf</t>
  </si>
  <si>
    <t>NOPAT</t>
  </si>
  <si>
    <t>FY2024: CEO Black, CFO McGuire</t>
  </si>
  <si>
    <t>Derived Metrics</t>
  </si>
  <si>
    <t>Gross margin</t>
  </si>
  <si>
    <t>EBIT-margin group</t>
  </si>
  <si>
    <t>Interest income as a share of revenue</t>
  </si>
  <si>
    <t>Interest income as a share of EBIT</t>
  </si>
  <si>
    <t>Cash conversion, FCF over revenue, excluding float income and expense</t>
  </si>
  <si>
    <t>Cash conversion, FCF interest earnings over interest income</t>
  </si>
  <si>
    <t>Cash conversion, FCF over revenue</t>
  </si>
  <si>
    <t>Return on invested capital, excluding client funds</t>
  </si>
  <si>
    <t>Return on invested capital, excluding client funds and goodwill</t>
  </si>
  <si>
    <t>Return on incremental capital, 3 year window</t>
  </si>
  <si>
    <t>Return on incremental capital, 5 year window</t>
  </si>
  <si>
    <t>Net debt, excluding client funds</t>
  </si>
  <si>
    <t xml:space="preserve">p.1 </t>
  </si>
  <si>
    <t>https://s205.q4cdn.com/887941133/files/doc_financials/2024/q1/ADP-1Q24-Earnings-Release.pdf</t>
  </si>
  <si>
    <t>Conditional Drivers</t>
  </si>
  <si>
    <t>Average balance of client funds</t>
  </si>
  <si>
    <t>https://s205.q4cdn.com/887941133/files/doc_financials/2024/q2/ADP-2Q24-Earnings-Release.pdf</t>
  </si>
  <si>
    <t>FINANCIAL CONDITION, LIQUIDITY AND CAPITAL RESOURCES</t>
  </si>
  <si>
    <t>Average yield on client funds</t>
  </si>
  <si>
    <t>Pays per control, growth</t>
  </si>
  <si>
    <t>Executive Overview</t>
  </si>
  <si>
    <t>https://s205.q4cdn.com/887941133/files/doc_financials/2024/q3/ADP-3Q24-Earnings-Release.pdf</t>
  </si>
  <si>
    <t>Client retention, Employer Services</t>
  </si>
  <si>
    <t>Worksite employees, PEO</t>
  </si>
  <si>
    <t>Average</t>
  </si>
  <si>
    <t>https://s205.q4cdn.com/887941133/files/doc_financials/2024/q4/ADP-4Q24-Earnings-Release.pdf</t>
  </si>
  <si>
    <t>New bookings growth, Employer Services</t>
  </si>
  <si>
    <t>PEO revenue per worksite employee, excluding pass through, USD</t>
  </si>
  <si>
    <t>USD per average worksite employee</t>
  </si>
  <si>
    <t>FY2025: CEO Black, CFO McGuire</t>
  </si>
  <si>
    <t>CAGR</t>
  </si>
  <si>
    <t>Revenue, excluding zero-margin pass through transactions</t>
  </si>
  <si>
    <t>Free cash flow after additions to intangibles</t>
  </si>
  <si>
    <t>Diluted shares outstanding</t>
  </si>
  <si>
    <t>ASSUMPTIONS</t>
  </si>
  <si>
    <t>Bear</t>
  </si>
  <si>
    <t>Base</t>
  </si>
  <si>
    <t>Best</t>
  </si>
  <si>
    <t>FCF-revenue conversion, excluding interest</t>
  </si>
  <si>
    <t>FCF-interest conversion</t>
  </si>
  <si>
    <t>Average client fund balance</t>
  </si>
  <si>
    <t>First 5 year revenue nominal CAGR</t>
  </si>
  <si>
    <t>https://mjbaldbard.wordpress.com/wp-content/uploads/2020/09/michael-mauboussin-e28093-base-rate-books-2015-2016.pdf</t>
  </si>
  <si>
    <t>Year 6-10 revenue nominal CAGR</t>
  </si>
  <si>
    <t>Perpetual growth rate, CAGR, nominal</t>
  </si>
  <si>
    <t>https://s205.q4cdn.com/887941133/files/doc_financials/2025/q1/ADP-1Q25-Earnings-Release.pdf</t>
  </si>
  <si>
    <t>https://s205.q4cdn.com/887941133/files/doc_financials/2025/q2/ADP-2Q25-Earnings-Release.pdf</t>
  </si>
  <si>
    <t>https://s205.q4cdn.com/887941133/files/doc_financials/2025/q3/ADP-3Q25-Earnings-Release.pdf</t>
  </si>
  <si>
    <t>https://s205.q4cdn.com/887941133/files/doc_financials/2025/q4/ADP-4Q25-Earnings-Release.pdf</t>
  </si>
  <si>
    <t>FY2026: CEO Black, CFO Hadley</t>
  </si>
  <si>
    <t>https://s205.q4cdn.com/887941133/files/doc_financials/2026/q1/ADP-1Q26-Earnings-Release.pdf</t>
  </si>
  <si>
    <t>https://s205.q4cdn.com/887941133/files/doc_financials/2026/q2/ADP-2Q26-Earnings-Release.pdf</t>
  </si>
  <si>
    <t>https://s205.q4cdn.com/887941133/files/doc_financials/2026/q3/ADP-3Q26-Earnings-Release.pdf</t>
  </si>
  <si>
    <t>QoQ Guidance</t>
  </si>
  <si>
    <t>Absolute</t>
  </si>
  <si>
    <t>YoY Guidance</t>
  </si>
  <si>
    <t>Net debt</t>
  </si>
  <si>
    <t>Diluted outstanding shares at year 11</t>
  </si>
  <si>
    <t>REVENUE, EXCLUDING INTEREST</t>
  </si>
  <si>
    <t>REVENUE, INTEREST</t>
  </si>
  <si>
    <t>FREE CASH FLOW</t>
  </si>
  <si>
    <t>DISCOUNTED FREE CASH FLOW</t>
  </si>
  <si>
    <t>Total</t>
  </si>
  <si>
    <t>Intrinsic value per share</t>
  </si>
  <si>
    <t>Assigned probabilities</t>
  </si>
  <si>
    <t>Expected value</t>
  </si>
  <si>
    <t>Value per share with 25% margin of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</si>
</sst>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%;\(0.00%\);\-"/>
    <numFmt numFmtId="165" formatCode="#,##0.0"/>
    <numFmt numFmtId="166" formatCode="#,##0.0;\(#,##0.0\);\-"/>
    <numFmt numFmtId="167" formatCode="#,##0.0000"/>
    <numFmt numFmtId="168" formatCode="#,##0.000"/>
  </numFmts>
  <fonts count="18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</font>
    <font>
      <b/>
      <sz val="10"/>
      <color theme="1"/>
      <name val="Arial"/>
    </font>
    <font>
      <i/>
      <sz val="10"/>
      <color theme="1"/>
      <name val="Calibri"/>
      <scheme val="minor"/>
    </font>
    <font>
      <u/>
      <sz val="10"/>
      <color rgb="FF0000FF"/>
      <name val="Calibri"/>
    </font>
    <font>
      <u/>
      <sz val="10"/>
      <color rgb="FF0000FF"/>
      <name val="Calibri"/>
    </font>
    <font>
      <sz val="10"/>
      <color theme="1"/>
      <name val="Arial"/>
    </font>
    <font>
      <b/>
      <i/>
      <sz val="10"/>
      <color theme="1"/>
      <name val="Calibri"/>
      <scheme val="minor"/>
    </font>
    <font>
      <sz val="10"/>
      <color rgb="FF000000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u/>
      <sz val="10"/>
      <color rgb="FF0000FF"/>
      <name val="Calibri"/>
    </font>
    <font>
      <b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1" fillId="0" borderId="0" xfId="0" applyNumberFormat="1" applyFont="1"/>
    <xf numFmtId="0" fontId="1" fillId="0" borderId="0" xfId="0" applyFont="1"/>
    <xf numFmtId="4" fontId="2" fillId="0" borderId="0" xfId="0" applyNumberFormat="1" applyFont="1"/>
    <xf numFmtId="0" fontId="3" fillId="0" borderId="0" xfId="0" applyFont="1"/>
    <xf numFmtId="0" fontId="2" fillId="0" borderId="0" xfId="0" applyFont="1"/>
    <xf numFmtId="4" fontId="2" fillId="0" borderId="1" xfId="0" applyNumberFormat="1" applyFont="1" applyBorder="1"/>
    <xf numFmtId="4" fontId="5" fillId="0" borderId="1" xfId="0" applyNumberFormat="1" applyFont="1" applyBorder="1"/>
    <xf numFmtId="0" fontId="6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3" fontId="2" fillId="0" borderId="0" xfId="0" applyNumberFormat="1" applyFont="1"/>
    <xf numFmtId="165" fontId="2" fillId="0" borderId="0" xfId="0" applyNumberFormat="1" applyFont="1"/>
    <xf numFmtId="10" fontId="2" fillId="0" borderId="0" xfId="0" applyNumberFormat="1" applyFont="1"/>
    <xf numFmtId="0" fontId="7" fillId="0" borderId="0" xfId="0" applyFont="1"/>
    <xf numFmtId="2" fontId="2" fillId="0" borderId="0" xfId="0" applyNumberFormat="1" applyFont="1"/>
    <xf numFmtId="0" fontId="9" fillId="0" borderId="0" xfId="0" applyFont="1"/>
    <xf numFmtId="2" fontId="5" fillId="0" borderId="0" xfId="0" applyNumberFormat="1" applyFont="1"/>
    <xf numFmtId="10" fontId="5" fillId="0" borderId="0" xfId="0" applyNumberFormat="1" applyFont="1"/>
    <xf numFmtId="0" fontId="4" fillId="0" borderId="0" xfId="0" applyFont="1"/>
    <xf numFmtId="166" fontId="10" fillId="0" borderId="0" xfId="0" applyNumberFormat="1" applyFont="1"/>
    <xf numFmtId="10" fontId="10" fillId="0" borderId="0" xfId="0" applyNumberFormat="1" applyFont="1"/>
    <xf numFmtId="0" fontId="11" fillId="0" borderId="0" xfId="0" applyFont="1"/>
    <xf numFmtId="164" fontId="12" fillId="0" borderId="0" xfId="0" applyNumberFormat="1" applyFont="1"/>
    <xf numFmtId="164" fontId="4" fillId="0" borderId="0" xfId="0" applyNumberFormat="1" applyFont="1"/>
    <xf numFmtId="164" fontId="11" fillId="0" borderId="0" xfId="0" applyNumberFormat="1" applyFont="1"/>
    <xf numFmtId="1" fontId="2" fillId="0" borderId="0" xfId="0" applyNumberFormat="1" applyFont="1"/>
    <xf numFmtId="0" fontId="8" fillId="0" borderId="0" xfId="0" applyFont="1"/>
    <xf numFmtId="164" fontId="8" fillId="0" borderId="0" xfId="0" applyNumberFormat="1" applyFont="1"/>
    <xf numFmtId="4" fontId="13" fillId="0" borderId="0" xfId="0" applyNumberFormat="1" applyFont="1"/>
    <xf numFmtId="0" fontId="12" fillId="0" borderId="0" xfId="0" applyFont="1"/>
    <xf numFmtId="0" fontId="2" fillId="2" borderId="0" xfId="0" applyFont="1" applyFill="1"/>
    <xf numFmtId="2" fontId="2" fillId="2" borderId="0" xfId="0" applyNumberFormat="1" applyFont="1" applyFill="1"/>
    <xf numFmtId="0" fontId="1" fillId="2" borderId="0" xfId="0" applyFont="1" applyFill="1"/>
    <xf numFmtId="10" fontId="2" fillId="2" borderId="0" xfId="0" applyNumberFormat="1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4" fontId="2" fillId="2" borderId="0" xfId="0" applyNumberFormat="1" applyFont="1" applyFill="1"/>
    <xf numFmtId="0" fontId="1" fillId="0" borderId="0" xfId="0" applyFont="1" applyAlignment="1">
      <alignment horizontal="center"/>
    </xf>
    <xf numFmtId="4" fontId="14" fillId="0" borderId="0" xfId="0" applyNumberFormat="1" applyFont="1"/>
    <xf numFmtId="4" fontId="15" fillId="0" borderId="0" xfId="0" applyNumberFormat="1" applyFont="1"/>
    <xf numFmtId="4" fontId="15" fillId="0" borderId="1" xfId="0" applyNumberFormat="1" applyFont="1" applyBorder="1"/>
    <xf numFmtId="4" fontId="16" fillId="0" borderId="1" xfId="0" applyNumberFormat="1" applyFont="1" applyBorder="1"/>
    <xf numFmtId="3" fontId="15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0" fontId="1" fillId="0" borderId="1" xfId="0" applyFont="1" applyBorder="1"/>
    <xf numFmtId="10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17" fillId="0" borderId="0" xfId="0" applyFont="1"/>
  </cellXfs>
  <cellStyles count="1">
    <cellStyle name="Normal" xfId="0" builtinId="0"/>
  </cellStyles>
  <dxfs count="1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none"/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3C47D"/>
          <bgColor rgb="FF93C47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205.q4cdn.com/887941133/files/doc_financials/2024/q2/ADP-2Q24-Earnings-Release.pdf" TargetMode="External"/><Relationship Id="rId13" Type="http://schemas.openxmlformats.org/officeDocument/2006/relationships/hyperlink" Target="https://s205.q4cdn.com/887941133/files/doc_financials/2025/q2/ADP-2Q25-Earnings-Release.pdf" TargetMode="External"/><Relationship Id="rId18" Type="http://schemas.openxmlformats.org/officeDocument/2006/relationships/hyperlink" Target="https://s205.q4cdn.com/887941133/files/doc_financials/2026/q2/ADP-2Q26-Earnings-Release.pdf" TargetMode="External"/><Relationship Id="rId3" Type="http://schemas.openxmlformats.org/officeDocument/2006/relationships/hyperlink" Target="https://s205.q4cdn.com/887941133/files/doc_financials/2023/q2/ADP-2Q23-Earnings-Release.pdf" TargetMode="External"/><Relationship Id="rId7" Type="http://schemas.openxmlformats.org/officeDocument/2006/relationships/hyperlink" Target="https://s205.q4cdn.com/887941133/files/doc_financials/2024/q1/ADP-1Q24-Earnings-Release.pdf" TargetMode="External"/><Relationship Id="rId12" Type="http://schemas.openxmlformats.org/officeDocument/2006/relationships/hyperlink" Target="https://s205.q4cdn.com/887941133/files/doc_financials/2025/q1/ADP-1Q25-Earnings-Release.pdf" TargetMode="External"/><Relationship Id="rId17" Type="http://schemas.openxmlformats.org/officeDocument/2006/relationships/hyperlink" Target="https://s205.q4cdn.com/887941133/files/doc_financials/2026/q1/ADP-1Q26-Earnings-Release.pdf" TargetMode="External"/><Relationship Id="rId2" Type="http://schemas.openxmlformats.org/officeDocument/2006/relationships/hyperlink" Target="https://s205.q4cdn.com/887941133/files/doc_financials/2023/q1/ADP-1Q23-Earnings-Release.pdf" TargetMode="External"/><Relationship Id="rId16" Type="http://schemas.openxmlformats.org/officeDocument/2006/relationships/hyperlink" Target="https://s205.q4cdn.com/887941133/files/doc_financials/2025/q4/ADP-4Q25-Earnings-Release.pdf" TargetMode="External"/><Relationship Id="rId1" Type="http://schemas.openxmlformats.org/officeDocument/2006/relationships/hyperlink" Target="https://s205.q4cdn.com/887941133/files/doc_financials/2022/q4/ADP-4Q22-Earnings-Release.pdf" TargetMode="External"/><Relationship Id="rId6" Type="http://schemas.openxmlformats.org/officeDocument/2006/relationships/hyperlink" Target="https://s205.q4cdn.com/887941133/files/doc_financials/2023/q4/ADP-4Q23-Earnings-Release.pdf" TargetMode="External"/><Relationship Id="rId11" Type="http://schemas.openxmlformats.org/officeDocument/2006/relationships/hyperlink" Target="https://s205.q4cdn.com/887941133/files/doc_financials/2024/q4/ADP-4Q24-Earnings-Release.pdf" TargetMode="External"/><Relationship Id="rId5" Type="http://schemas.openxmlformats.org/officeDocument/2006/relationships/hyperlink" Target="https://s205.q4cdn.com/887941133/files/doc_financials/2023/q4/ADP-4Q23-Earnings-Release.pdf" TargetMode="External"/><Relationship Id="rId15" Type="http://schemas.openxmlformats.org/officeDocument/2006/relationships/hyperlink" Target="https://s205.q4cdn.com/887941133/files/doc_financials/2025/q4/ADP-4Q25-Earnings-Release.pdf" TargetMode="External"/><Relationship Id="rId10" Type="http://schemas.openxmlformats.org/officeDocument/2006/relationships/hyperlink" Target="https://s205.q4cdn.com/887941133/files/doc_financials/2024/q4/ADP-4Q24-Earnings-Release.pdf" TargetMode="External"/><Relationship Id="rId19" Type="http://schemas.openxmlformats.org/officeDocument/2006/relationships/hyperlink" Target="https://s205.q4cdn.com/887941133/files/doc_financials/2026/q3/ADP-3Q26-Earnings-Release.pdf" TargetMode="External"/><Relationship Id="rId4" Type="http://schemas.openxmlformats.org/officeDocument/2006/relationships/hyperlink" Target="https://s205.q4cdn.com/887941133/files/doc_financials/2023/q3/ADP-3Q23-Earnings-Release.pdf" TargetMode="External"/><Relationship Id="rId9" Type="http://schemas.openxmlformats.org/officeDocument/2006/relationships/hyperlink" Target="https://s205.q4cdn.com/887941133/files/doc_financials/2024/q3/ADP-3Q24-Earnings-Release.pdf" TargetMode="External"/><Relationship Id="rId14" Type="http://schemas.openxmlformats.org/officeDocument/2006/relationships/hyperlink" Target="https://s205.q4cdn.com/887941133/files/doc_financials/2025/q3/ADP-3Q25-Earnings-Releas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18rn0p25nwr6d.cloudfront.net/CIK-0000008670/f67fbd2f-82f7-4947-99e2-60d97247fb15.pdf" TargetMode="External"/><Relationship Id="rId2" Type="http://schemas.openxmlformats.org/officeDocument/2006/relationships/hyperlink" Target="https://www.financecharts.com/stocks/ADP/summary/market-cap" TargetMode="External"/><Relationship Id="rId1" Type="http://schemas.openxmlformats.org/officeDocument/2006/relationships/hyperlink" Target="https://pages.stern.nyu.edu/~adamodar/New_Home_Page/datafile/Betas.html" TargetMode="External"/><Relationship Id="rId6" Type="http://schemas.openxmlformats.org/officeDocument/2006/relationships/hyperlink" Target="https://d18rn0p25nwr6d.cloudfront.net/CIK-0000008670/f67fbd2f-82f7-4947-99e2-60d97247fb15.pdf" TargetMode="External"/><Relationship Id="rId5" Type="http://schemas.openxmlformats.org/officeDocument/2006/relationships/hyperlink" Target="https://pages.stern.nyu.edu/~adamodar/New_Home_Page/datafile/ctryprem.html" TargetMode="External"/><Relationship Id="rId4" Type="http://schemas.openxmlformats.org/officeDocument/2006/relationships/hyperlink" Target="https://ycharts.com/indicators/10_year_treasury_rat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18rn0p25nwr6d.cloudfront.net/CIK-0000008670/f67fbd2f-82f7-4947-99e2-60d97247fb15.pdf" TargetMode="External"/><Relationship Id="rId2" Type="http://schemas.openxmlformats.org/officeDocument/2006/relationships/hyperlink" Target="https://www.cbo.gov/publication/62105" TargetMode="External"/><Relationship Id="rId1" Type="http://schemas.openxmlformats.org/officeDocument/2006/relationships/hyperlink" Target="https://mjbaldbard.wordpress.com/wp-content/uploads/2020/09/michael-mauboussin-e28093-base-rate-books-2015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92" sqref="D92"/>
    </sheetView>
  </sheetViews>
  <sheetFormatPr baseColWidth="10" defaultColWidth="14.3984375" defaultRowHeight="15.75" customHeight="1" x14ac:dyDescent="0.2"/>
  <cols>
    <col min="1" max="1" width="37.19921875" customWidth="1"/>
  </cols>
  <sheetData>
    <row r="1" spans="1:25" ht="14" x14ac:dyDescent="0.2">
      <c r="A1" s="2" t="s">
        <v>6</v>
      </c>
      <c r="B1" s="2" t="s">
        <v>8</v>
      </c>
      <c r="C1" s="2" t="s">
        <v>9</v>
      </c>
      <c r="D1" s="2" t="s">
        <v>11</v>
      </c>
      <c r="E1" s="2" t="s">
        <v>12</v>
      </c>
      <c r="F1" s="2" t="s">
        <v>14</v>
      </c>
      <c r="G1" s="2" t="s">
        <v>16</v>
      </c>
      <c r="H1" s="2" t="s">
        <v>18</v>
      </c>
      <c r="I1" s="2" t="s">
        <v>20</v>
      </c>
      <c r="J1" s="2" t="s">
        <v>22</v>
      </c>
      <c r="K1" s="2" t="s">
        <v>24</v>
      </c>
      <c r="L1" s="2"/>
      <c r="M1" s="2" t="s">
        <v>34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" x14ac:dyDescent="0.2">
      <c r="A2" s="2" t="s">
        <v>44</v>
      </c>
      <c r="M2" s="5" t="s">
        <v>46</v>
      </c>
    </row>
    <row r="3" spans="1:25" ht="14" x14ac:dyDescent="0.2">
      <c r="A3" s="5" t="s">
        <v>47</v>
      </c>
      <c r="B3" s="5" t="s">
        <v>48</v>
      </c>
      <c r="C3" s="12">
        <v>13274.2</v>
      </c>
      <c r="D3" s="12">
        <v>14110.2</v>
      </c>
      <c r="E3" s="12">
        <v>14589.8</v>
      </c>
      <c r="F3" s="12">
        <v>15005.4</v>
      </c>
      <c r="G3" s="12">
        <v>16498.3</v>
      </c>
      <c r="H3" s="12">
        <v>18012.2</v>
      </c>
      <c r="I3" s="12">
        <v>19202.599999999999</v>
      </c>
      <c r="J3" s="12">
        <v>20560.900000000001</v>
      </c>
      <c r="K3" s="12">
        <v>21947.4</v>
      </c>
      <c r="L3" s="13"/>
      <c r="M3" s="5" t="s">
        <v>50</v>
      </c>
      <c r="R3" s="5"/>
    </row>
    <row r="4" spans="1:25" ht="14" x14ac:dyDescent="0.2">
      <c r="A4" s="5" t="s">
        <v>51</v>
      </c>
      <c r="B4" s="5" t="s">
        <v>48</v>
      </c>
      <c r="C4" s="12">
        <v>3882.3</v>
      </c>
      <c r="D4" s="12">
        <v>4242.7</v>
      </c>
      <c r="E4" s="12">
        <v>4511.5</v>
      </c>
      <c r="F4" s="12">
        <v>4818.3</v>
      </c>
      <c r="G4" s="12">
        <v>5545.7</v>
      </c>
      <c r="H4" s="12">
        <v>5976.8</v>
      </c>
      <c r="I4" s="12">
        <v>6224.3</v>
      </c>
      <c r="J4" s="12">
        <v>6679.6</v>
      </c>
      <c r="K4" s="12">
        <v>7128.1</v>
      </c>
      <c r="M4" s="5" t="s">
        <v>52</v>
      </c>
      <c r="R4" s="5"/>
    </row>
    <row r="5" spans="1:25" ht="14" x14ac:dyDescent="0.2">
      <c r="A5" s="5" t="s">
        <v>53</v>
      </c>
      <c r="B5" s="5" t="s">
        <v>48</v>
      </c>
      <c r="C5" s="12">
        <v>2463.1</v>
      </c>
      <c r="D5" s="12">
        <v>2712.5</v>
      </c>
      <c r="E5" s="12">
        <v>2907.7</v>
      </c>
      <c r="F5" s="12">
        <v>3092</v>
      </c>
      <c r="G5" s="12">
        <v>3514.4</v>
      </c>
      <c r="H5" s="12">
        <v>3800.9</v>
      </c>
      <c r="I5" s="12">
        <v>3975.9</v>
      </c>
      <c r="J5" s="12">
        <v>4289</v>
      </c>
      <c r="K5" s="12">
        <v>4607.3</v>
      </c>
      <c r="M5" s="5" t="s">
        <v>52</v>
      </c>
      <c r="R5" s="5"/>
    </row>
    <row r="6" spans="1:25" ht="14" x14ac:dyDescent="0.2">
      <c r="A6" s="5" t="s">
        <v>54</v>
      </c>
      <c r="B6" s="5" t="s">
        <v>48</v>
      </c>
      <c r="C6" s="12">
        <f t="shared" ref="C6:K6" si="0">C4-C5</f>
        <v>1419.2000000000003</v>
      </c>
      <c r="D6" s="12">
        <f t="shared" si="0"/>
        <v>1530.1999999999998</v>
      </c>
      <c r="E6" s="12">
        <f t="shared" si="0"/>
        <v>1603.8000000000002</v>
      </c>
      <c r="F6" s="12">
        <f t="shared" si="0"/>
        <v>1726.3000000000002</v>
      </c>
      <c r="G6" s="12">
        <f t="shared" si="0"/>
        <v>2031.2999999999997</v>
      </c>
      <c r="H6" s="12">
        <f t="shared" si="0"/>
        <v>2175.9</v>
      </c>
      <c r="I6" s="12">
        <f t="shared" si="0"/>
        <v>2248.4</v>
      </c>
      <c r="J6" s="12">
        <f t="shared" si="0"/>
        <v>2390.6000000000004</v>
      </c>
      <c r="K6" s="12">
        <f t="shared" si="0"/>
        <v>2520.8000000000002</v>
      </c>
      <c r="R6" s="5"/>
    </row>
    <row r="7" spans="1:25" ht="14" x14ac:dyDescent="0.2">
      <c r="A7" s="5" t="s">
        <v>57</v>
      </c>
      <c r="B7" s="5" t="s">
        <v>48</v>
      </c>
      <c r="C7" s="12">
        <v>466.5</v>
      </c>
      <c r="D7" s="12">
        <v>561.9</v>
      </c>
      <c r="E7" s="12">
        <v>545.20000000000005</v>
      </c>
      <c r="F7" s="12">
        <v>422.4</v>
      </c>
      <c r="G7" s="12">
        <v>451.8</v>
      </c>
      <c r="H7" s="12">
        <v>813.4</v>
      </c>
      <c r="I7" s="12">
        <v>1024.7</v>
      </c>
      <c r="J7" s="12">
        <v>1189.0999999999999</v>
      </c>
      <c r="K7" s="12">
        <v>1354.8</v>
      </c>
      <c r="M7" s="5" t="s">
        <v>50</v>
      </c>
      <c r="R7" s="5"/>
    </row>
    <row r="8" spans="1:25" ht="14" x14ac:dyDescent="0.2">
      <c r="A8" s="5" t="s">
        <v>60</v>
      </c>
      <c r="B8" s="5" t="s">
        <v>48</v>
      </c>
      <c r="C8" s="12">
        <v>7810.9</v>
      </c>
      <c r="D8" s="12">
        <v>8021.6</v>
      </c>
      <c r="E8" s="12">
        <v>8445.1</v>
      </c>
      <c r="F8" s="12">
        <v>8640.2999999999993</v>
      </c>
      <c r="G8" s="12">
        <v>9461.9</v>
      </c>
      <c r="H8" s="12">
        <v>9953.4</v>
      </c>
      <c r="I8" s="12">
        <v>10476.700000000001</v>
      </c>
      <c r="J8" s="12">
        <v>11097.3</v>
      </c>
      <c r="K8" s="12">
        <v>11760.2</v>
      </c>
      <c r="M8" s="5" t="s">
        <v>50</v>
      </c>
      <c r="R8" s="5"/>
    </row>
    <row r="9" spans="1:25" ht="14" x14ac:dyDescent="0.2">
      <c r="A9" s="5" t="s">
        <v>61</v>
      </c>
      <c r="B9" s="5" t="s">
        <v>48</v>
      </c>
      <c r="C9" s="12">
        <f t="shared" ref="C9:K9" si="1">C3-C8</f>
        <v>5463.3000000000011</v>
      </c>
      <c r="D9" s="12">
        <f t="shared" si="1"/>
        <v>6088.6</v>
      </c>
      <c r="E9" s="12">
        <f t="shared" si="1"/>
        <v>6144.6999999999989</v>
      </c>
      <c r="F9" s="12">
        <f t="shared" si="1"/>
        <v>6365.1</v>
      </c>
      <c r="G9" s="12">
        <f t="shared" si="1"/>
        <v>7036.4</v>
      </c>
      <c r="H9" s="12">
        <f t="shared" si="1"/>
        <v>8058.8000000000011</v>
      </c>
      <c r="I9" s="12">
        <f t="shared" si="1"/>
        <v>8725.8999999999978</v>
      </c>
      <c r="J9" s="12">
        <f t="shared" si="1"/>
        <v>9463.6000000000022</v>
      </c>
      <c r="K9" s="12">
        <f t="shared" si="1"/>
        <v>10187.200000000001</v>
      </c>
      <c r="M9" s="5" t="s">
        <v>50</v>
      </c>
      <c r="R9" s="5"/>
    </row>
    <row r="10" spans="1:25" ht="14" x14ac:dyDescent="0.2">
      <c r="A10" s="5" t="s">
        <v>65</v>
      </c>
      <c r="B10" s="5" t="s">
        <v>48</v>
      </c>
      <c r="C10" s="12">
        <v>102.7</v>
      </c>
      <c r="D10" s="12">
        <v>129.9</v>
      </c>
      <c r="E10" s="12">
        <v>107.1</v>
      </c>
      <c r="F10" s="12">
        <v>59.7</v>
      </c>
      <c r="G10" s="12">
        <v>81.900000000000006</v>
      </c>
      <c r="H10" s="12">
        <v>253.3</v>
      </c>
      <c r="I10" s="12">
        <v>361.4</v>
      </c>
      <c r="J10" s="12">
        <v>455.9</v>
      </c>
      <c r="K10" s="12">
        <v>459.3</v>
      </c>
      <c r="M10" s="5" t="s">
        <v>50</v>
      </c>
    </row>
    <row r="11" spans="1:25" ht="14" x14ac:dyDescent="0.2">
      <c r="A11" s="5" t="s">
        <v>66</v>
      </c>
      <c r="B11" s="5" t="s">
        <v>48</v>
      </c>
      <c r="C11" s="12">
        <v>10873</v>
      </c>
      <c r="D11" s="12">
        <v>11215.7</v>
      </c>
      <c r="E11" s="12">
        <v>11555.2</v>
      </c>
      <c r="F11" s="12">
        <v>11740.5</v>
      </c>
      <c r="G11" s="12">
        <v>12777</v>
      </c>
      <c r="H11" s="12">
        <v>13758.1</v>
      </c>
      <c r="I11" s="12">
        <v>14617</v>
      </c>
      <c r="J11" s="12">
        <v>15604.9</v>
      </c>
      <c r="K11" s="12">
        <v>16627.7</v>
      </c>
      <c r="M11" s="5" t="s">
        <v>50</v>
      </c>
    </row>
    <row r="12" spans="1:25" ht="14" x14ac:dyDescent="0.2">
      <c r="A12" s="5" t="s">
        <v>69</v>
      </c>
      <c r="B12" s="5" t="s">
        <v>48</v>
      </c>
      <c r="C12" s="12">
        <f t="shared" ref="C12:K12" si="2">C3-C11</f>
        <v>2401.2000000000007</v>
      </c>
      <c r="D12" s="12">
        <f t="shared" si="2"/>
        <v>2894.5</v>
      </c>
      <c r="E12" s="12">
        <f t="shared" si="2"/>
        <v>3034.5999999999985</v>
      </c>
      <c r="F12" s="12">
        <f t="shared" si="2"/>
        <v>3264.8999999999996</v>
      </c>
      <c r="G12" s="12">
        <f t="shared" si="2"/>
        <v>3721.2999999999993</v>
      </c>
      <c r="H12" s="12">
        <f t="shared" si="2"/>
        <v>4254.1000000000004</v>
      </c>
      <c r="I12" s="12">
        <f t="shared" si="2"/>
        <v>4585.5999999999985</v>
      </c>
      <c r="J12" s="12">
        <f t="shared" si="2"/>
        <v>4956.0000000000018</v>
      </c>
      <c r="K12" s="12">
        <f t="shared" si="2"/>
        <v>5319.7000000000007</v>
      </c>
      <c r="M12" s="5" t="s">
        <v>50</v>
      </c>
    </row>
    <row r="13" spans="1:25" ht="14" x14ac:dyDescent="0.2">
      <c r="A13" s="5" t="s">
        <v>71</v>
      </c>
      <c r="B13" s="5" t="s">
        <v>48</v>
      </c>
      <c r="C13" s="12">
        <v>2598.1</v>
      </c>
      <c r="D13" s="12">
        <v>2957</v>
      </c>
      <c r="E13" s="12">
        <v>3058.2</v>
      </c>
      <c r="F13" s="12">
        <v>3052.1</v>
      </c>
      <c r="G13" s="12">
        <v>3406.3</v>
      </c>
      <c r="H13" s="12">
        <v>3974.2</v>
      </c>
      <c r="I13" s="12">
        <v>4555.5</v>
      </c>
      <c r="J13" s="12">
        <v>5008.5</v>
      </c>
      <c r="K13" s="12">
        <v>5436.8</v>
      </c>
      <c r="M13" s="5" t="s">
        <v>52</v>
      </c>
    </row>
    <row r="14" spans="1:25" ht="14" x14ac:dyDescent="0.2">
      <c r="A14" s="5" t="s">
        <v>72</v>
      </c>
      <c r="B14" s="5" t="s">
        <v>48</v>
      </c>
      <c r="C14" s="12">
        <v>544.6</v>
      </c>
      <c r="D14" s="12">
        <v>620.1</v>
      </c>
      <c r="E14" s="12">
        <v>609.29999999999995</v>
      </c>
      <c r="F14" s="12">
        <v>718.8</v>
      </c>
      <c r="G14" s="12">
        <v>871.2</v>
      </c>
      <c r="H14" s="12">
        <v>977.3</v>
      </c>
      <c r="I14" s="12">
        <v>921.5</v>
      </c>
      <c r="J14" s="12">
        <v>950.5</v>
      </c>
      <c r="K14" s="12">
        <v>936.1</v>
      </c>
      <c r="M14" s="5" t="s">
        <v>52</v>
      </c>
    </row>
    <row r="15" spans="1:25" ht="14" x14ac:dyDescent="0.2">
      <c r="A15" s="5" t="s">
        <v>73</v>
      </c>
      <c r="B15" s="5" t="s">
        <v>48</v>
      </c>
      <c r="C15" s="12">
        <v>860.1</v>
      </c>
      <c r="D15" s="12">
        <v>571.5</v>
      </c>
      <c r="E15" s="12">
        <v>484.9</v>
      </c>
      <c r="F15" s="12">
        <v>409.7</v>
      </c>
      <c r="G15" s="12">
        <v>473.4</v>
      </c>
      <c r="H15" s="12">
        <v>513.9</v>
      </c>
      <c r="I15" s="12">
        <v>604.70000000000005</v>
      </c>
      <c r="J15" s="12">
        <v>648.9</v>
      </c>
      <c r="K15" s="12">
        <v>642.6</v>
      </c>
      <c r="M15" s="5" t="s">
        <v>52</v>
      </c>
    </row>
    <row r="16" spans="1:25" ht="14" x14ac:dyDescent="0.2">
      <c r="A16" s="5" t="s">
        <v>75</v>
      </c>
      <c r="B16" s="5" t="s">
        <v>48</v>
      </c>
      <c r="C16" s="12">
        <f t="shared" ref="C16:K16" si="3">C13+C14-C15</f>
        <v>2282.6</v>
      </c>
      <c r="D16" s="12">
        <f t="shared" si="3"/>
        <v>3005.6</v>
      </c>
      <c r="E16" s="12">
        <f t="shared" si="3"/>
        <v>3182.6</v>
      </c>
      <c r="F16" s="12">
        <f t="shared" si="3"/>
        <v>3361.2</v>
      </c>
      <c r="G16" s="12">
        <f t="shared" si="3"/>
        <v>3804.1</v>
      </c>
      <c r="H16" s="12">
        <f t="shared" si="3"/>
        <v>4437.6000000000004</v>
      </c>
      <c r="I16" s="12">
        <f t="shared" si="3"/>
        <v>4872.3</v>
      </c>
      <c r="J16" s="12">
        <f t="shared" si="3"/>
        <v>5310.1</v>
      </c>
      <c r="K16" s="12">
        <f t="shared" si="3"/>
        <v>5730.3</v>
      </c>
    </row>
    <row r="17" spans="1:13" ht="14" x14ac:dyDescent="0.2">
      <c r="A17" s="5" t="s">
        <v>78</v>
      </c>
      <c r="B17" s="5" t="s">
        <v>48</v>
      </c>
      <c r="C17" s="12">
        <v>397.7</v>
      </c>
      <c r="D17" s="12">
        <v>712.8</v>
      </c>
      <c r="E17" s="12">
        <v>716.1</v>
      </c>
      <c r="F17" s="12">
        <v>762.7</v>
      </c>
      <c r="G17" s="12">
        <v>855.2</v>
      </c>
      <c r="H17" s="12">
        <v>1025.5999999999999</v>
      </c>
      <c r="I17" s="12">
        <v>1120.3</v>
      </c>
      <c r="J17" s="12">
        <v>1230.4000000000001</v>
      </c>
      <c r="K17" s="12">
        <v>1316.8</v>
      </c>
      <c r="M17" s="5" t="s">
        <v>50</v>
      </c>
    </row>
    <row r="18" spans="1:13" ht="14" x14ac:dyDescent="0.2">
      <c r="A18" s="5" t="s">
        <v>79</v>
      </c>
      <c r="B18" s="5" t="s">
        <v>80</v>
      </c>
      <c r="C18" s="13">
        <f t="shared" ref="C18:K18" si="4">C17/C16</f>
        <v>0.17423113992815212</v>
      </c>
      <c r="D18" s="13">
        <f t="shared" si="4"/>
        <v>0.2371573063614586</v>
      </c>
      <c r="E18" s="13">
        <f t="shared" si="4"/>
        <v>0.22500471312763151</v>
      </c>
      <c r="F18" s="13">
        <f t="shared" si="4"/>
        <v>0.22691300725931218</v>
      </c>
      <c r="G18" s="13">
        <f t="shared" si="4"/>
        <v>0.22481007334192057</v>
      </c>
      <c r="H18" s="13">
        <f t="shared" si="4"/>
        <v>0.2311159185145123</v>
      </c>
      <c r="I18" s="13">
        <f t="shared" si="4"/>
        <v>0.22993247542228515</v>
      </c>
      <c r="J18" s="13">
        <f t="shared" si="4"/>
        <v>0.23170938400406771</v>
      </c>
      <c r="K18" s="13">
        <f t="shared" si="4"/>
        <v>0.22979599671919443</v>
      </c>
      <c r="M18" s="5" t="s">
        <v>50</v>
      </c>
    </row>
    <row r="19" spans="1:13" ht="14" x14ac:dyDescent="0.2">
      <c r="A19" s="5" t="s">
        <v>81</v>
      </c>
      <c r="B19" s="5" t="s">
        <v>48</v>
      </c>
      <c r="C19" s="12">
        <v>1884.9</v>
      </c>
      <c r="D19" s="12">
        <v>2292.8000000000002</v>
      </c>
      <c r="E19" s="12">
        <v>2466.5</v>
      </c>
      <c r="F19" s="12">
        <v>2598.5</v>
      </c>
      <c r="G19" s="12">
        <v>2948.9</v>
      </c>
      <c r="H19" s="12">
        <f t="shared" ref="H19:K19" si="5">H16-H17</f>
        <v>3412.0000000000005</v>
      </c>
      <c r="I19" s="12">
        <f t="shared" si="5"/>
        <v>3752</v>
      </c>
      <c r="J19" s="12">
        <f t="shared" si="5"/>
        <v>4079.7000000000003</v>
      </c>
      <c r="K19" s="12">
        <f t="shared" si="5"/>
        <v>4413.5</v>
      </c>
      <c r="L19" s="13"/>
      <c r="M19" s="5" t="s">
        <v>50</v>
      </c>
    </row>
    <row r="20" spans="1:13" ht="14" x14ac:dyDescent="0.2">
      <c r="A20" s="5" t="s">
        <v>82</v>
      </c>
      <c r="B20" s="5" t="s">
        <v>83</v>
      </c>
      <c r="C20" s="12">
        <v>443.3</v>
      </c>
      <c r="D20" s="12">
        <v>437.6</v>
      </c>
      <c r="E20" s="12">
        <v>432.7</v>
      </c>
      <c r="F20" s="12">
        <v>428.1</v>
      </c>
      <c r="G20" s="12">
        <v>421.1</v>
      </c>
      <c r="H20" s="12">
        <v>415.7</v>
      </c>
      <c r="I20" s="12">
        <v>412.2</v>
      </c>
      <c r="J20" s="12">
        <v>408.7</v>
      </c>
      <c r="K20" s="12">
        <v>403.3</v>
      </c>
      <c r="L20" s="13"/>
      <c r="M20" s="5" t="s">
        <v>50</v>
      </c>
    </row>
    <row r="22" spans="1:13" ht="14" x14ac:dyDescent="0.2">
      <c r="A22" s="2" t="s">
        <v>84</v>
      </c>
    </row>
    <row r="23" spans="1:13" ht="14" x14ac:dyDescent="0.2">
      <c r="A23" s="5" t="s">
        <v>85</v>
      </c>
      <c r="B23" s="5" t="s">
        <v>48</v>
      </c>
      <c r="C23" s="12">
        <v>2170</v>
      </c>
      <c r="D23" s="12">
        <v>1949.2</v>
      </c>
      <c r="E23" s="12">
        <v>1908.5</v>
      </c>
      <c r="F23" s="12">
        <v>2575.1999999999998</v>
      </c>
      <c r="G23" s="12">
        <v>1436.3</v>
      </c>
      <c r="H23" s="12">
        <v>2083.5</v>
      </c>
      <c r="I23" s="12">
        <v>2913.4</v>
      </c>
      <c r="J23" s="12">
        <v>3347.8</v>
      </c>
      <c r="K23" s="12">
        <v>4230.1000000000004</v>
      </c>
      <c r="M23" s="5" t="s">
        <v>86</v>
      </c>
    </row>
    <row r="24" spans="1:13" ht="14" x14ac:dyDescent="0.2">
      <c r="A24" s="5" t="s">
        <v>87</v>
      </c>
      <c r="B24" s="5" t="s">
        <v>48</v>
      </c>
      <c r="C24" s="12">
        <v>3.3</v>
      </c>
      <c r="D24" s="12">
        <v>10.5</v>
      </c>
      <c r="E24" s="12">
        <v>0</v>
      </c>
      <c r="F24" s="12">
        <v>10.4</v>
      </c>
      <c r="G24" s="12">
        <v>14.7</v>
      </c>
      <c r="H24" s="12">
        <v>47</v>
      </c>
      <c r="I24" s="12">
        <v>384</v>
      </c>
      <c r="J24" s="12">
        <v>4498.8</v>
      </c>
      <c r="K24" s="12">
        <v>0</v>
      </c>
      <c r="M24" s="5" t="s">
        <v>50</v>
      </c>
    </row>
    <row r="25" spans="1:13" ht="14" x14ac:dyDescent="0.2">
      <c r="A25" s="5" t="s">
        <v>88</v>
      </c>
      <c r="B25" s="5" t="s">
        <v>48</v>
      </c>
      <c r="C25" s="12">
        <v>2243.5</v>
      </c>
      <c r="D25" s="12">
        <v>2323</v>
      </c>
      <c r="E25" s="12">
        <v>2309.4</v>
      </c>
      <c r="F25" s="12">
        <v>2338.4</v>
      </c>
      <c r="G25" s="12">
        <v>2300.5</v>
      </c>
      <c r="H25" s="12">
        <v>2339.4</v>
      </c>
      <c r="I25" s="12">
        <v>2353.6</v>
      </c>
      <c r="J25" s="12">
        <v>3273.5</v>
      </c>
      <c r="K25" s="12">
        <v>3284.4</v>
      </c>
      <c r="L25" s="12"/>
      <c r="M25" s="5" t="s">
        <v>50</v>
      </c>
    </row>
    <row r="26" spans="1:13" ht="14" x14ac:dyDescent="0.2">
      <c r="A26" s="5" t="s">
        <v>89</v>
      </c>
      <c r="B26" s="5" t="s">
        <v>48</v>
      </c>
      <c r="C26" s="12">
        <v>43.9</v>
      </c>
      <c r="D26" s="12">
        <v>54.8</v>
      </c>
      <c r="E26" s="12">
        <v>13.6</v>
      </c>
      <c r="F26" s="12">
        <v>23.5</v>
      </c>
      <c r="G26" s="12">
        <v>136.4</v>
      </c>
      <c r="H26" s="12">
        <v>105.4</v>
      </c>
      <c r="I26" s="12">
        <v>385.4</v>
      </c>
      <c r="J26" s="12">
        <v>38.4</v>
      </c>
      <c r="K26" s="12">
        <v>139.30000000000001</v>
      </c>
      <c r="L26" s="12"/>
      <c r="M26" s="5" t="s">
        <v>50</v>
      </c>
    </row>
    <row r="27" spans="1:13" ht="14" x14ac:dyDescent="0.2">
      <c r="A27" s="5" t="s">
        <v>90</v>
      </c>
      <c r="B27" s="5" t="s">
        <v>48</v>
      </c>
      <c r="C27" s="12">
        <v>0</v>
      </c>
      <c r="D27" s="12">
        <v>0</v>
      </c>
      <c r="E27" s="12">
        <v>1001.8</v>
      </c>
      <c r="F27" s="12">
        <v>0</v>
      </c>
      <c r="G27" s="12">
        <v>0</v>
      </c>
      <c r="H27" s="12">
        <v>0</v>
      </c>
      <c r="I27" s="12">
        <v>0</v>
      </c>
      <c r="J27" s="12">
        <v>4769.5</v>
      </c>
      <c r="K27" s="12">
        <v>0</v>
      </c>
      <c r="L27" s="12"/>
      <c r="M27" s="5" t="s">
        <v>50</v>
      </c>
    </row>
    <row r="28" spans="1:13" ht="14" x14ac:dyDescent="0.2">
      <c r="A28" s="5" t="s">
        <v>91</v>
      </c>
      <c r="B28" s="5" t="s">
        <v>48</v>
      </c>
      <c r="C28" s="12">
        <v>2002.4</v>
      </c>
      <c r="D28" s="12">
        <v>2002.2</v>
      </c>
      <c r="E28" s="12">
        <v>1002.8</v>
      </c>
      <c r="F28" s="12">
        <v>2985</v>
      </c>
      <c r="G28" s="12">
        <v>2987.1</v>
      </c>
      <c r="H28" s="12">
        <v>2989</v>
      </c>
      <c r="I28" s="12">
        <v>2991.3</v>
      </c>
      <c r="J28" s="12">
        <v>3974.7</v>
      </c>
      <c r="K28" s="12">
        <v>4964.1000000000004</v>
      </c>
      <c r="L28" s="12"/>
      <c r="M28" s="5" t="s">
        <v>50</v>
      </c>
    </row>
    <row r="29" spans="1:13" ht="14" x14ac:dyDescent="0.2">
      <c r="A29" s="5" t="s">
        <v>92</v>
      </c>
      <c r="B29" s="5" t="s">
        <v>48</v>
      </c>
      <c r="C29" s="12">
        <v>539.5</v>
      </c>
      <c r="D29" s="12">
        <v>596.4</v>
      </c>
      <c r="E29" s="12">
        <v>344.4</v>
      </c>
      <c r="F29" s="12">
        <v>343.2</v>
      </c>
      <c r="G29" s="12">
        <v>370.9</v>
      </c>
      <c r="H29" s="12">
        <v>349.9</v>
      </c>
      <c r="I29" s="12">
        <v>328.6</v>
      </c>
      <c r="J29" s="12">
        <v>321.2</v>
      </c>
      <c r="K29" s="12">
        <v>306.7</v>
      </c>
      <c r="M29" s="5" t="s">
        <v>50</v>
      </c>
    </row>
    <row r="30" spans="1:13" ht="14" x14ac:dyDescent="0.2">
      <c r="A30" s="5" t="s">
        <v>93</v>
      </c>
      <c r="B30" s="5" t="s">
        <v>48</v>
      </c>
      <c r="C30" s="12">
        <v>4735.8999999999996</v>
      </c>
      <c r="D30" s="12">
        <v>5399.9</v>
      </c>
      <c r="E30" s="12">
        <v>5752.2</v>
      </c>
      <c r="F30" s="12">
        <v>5670.1</v>
      </c>
      <c r="G30" s="12">
        <v>3225.3</v>
      </c>
      <c r="H30" s="12">
        <v>3225.3</v>
      </c>
      <c r="I30" s="12">
        <v>4547.6000000000004</v>
      </c>
      <c r="J30" s="12">
        <v>6188</v>
      </c>
      <c r="K30" s="12">
        <v>6031.2</v>
      </c>
      <c r="M30" s="5" t="s">
        <v>50</v>
      </c>
    </row>
    <row r="32" spans="1:13" ht="14" x14ac:dyDescent="0.2">
      <c r="A32" s="2" t="s">
        <v>95</v>
      </c>
    </row>
    <row r="33" spans="1:13" ht="14" x14ac:dyDescent="0.2">
      <c r="A33" s="5" t="s">
        <v>96</v>
      </c>
      <c r="B33" s="5" t="s">
        <v>48</v>
      </c>
      <c r="C33" s="12">
        <v>2515.1999999999998</v>
      </c>
      <c r="D33" s="12">
        <v>2688.3</v>
      </c>
      <c r="E33" s="12">
        <v>3026.2</v>
      </c>
      <c r="F33" s="12">
        <v>3093.3</v>
      </c>
      <c r="G33" s="12">
        <v>3099.5</v>
      </c>
      <c r="H33" s="12">
        <v>4207.6000000000004</v>
      </c>
      <c r="I33" s="12">
        <v>4157.6000000000004</v>
      </c>
      <c r="J33" s="12">
        <v>4939.7</v>
      </c>
      <c r="K33" s="12">
        <v>5441.2</v>
      </c>
      <c r="M33" s="5" t="s">
        <v>50</v>
      </c>
    </row>
    <row r="34" spans="1:13" ht="14" x14ac:dyDescent="0.2">
      <c r="A34" s="5" t="s">
        <v>97</v>
      </c>
      <c r="B34" s="5" t="s">
        <v>48</v>
      </c>
      <c r="C34" s="12">
        <v>206.1</v>
      </c>
      <c r="D34" s="12">
        <v>162</v>
      </c>
      <c r="E34" s="12">
        <v>172.7</v>
      </c>
      <c r="F34" s="12">
        <v>178.6</v>
      </c>
      <c r="G34" s="12">
        <v>174.4</v>
      </c>
      <c r="H34" s="12">
        <v>206.3</v>
      </c>
      <c r="I34" s="12">
        <v>208.4</v>
      </c>
      <c r="J34" s="12">
        <v>168.7</v>
      </c>
      <c r="K34" s="12">
        <v>196.6</v>
      </c>
      <c r="M34" s="5" t="s">
        <v>50</v>
      </c>
    </row>
    <row r="35" spans="1:13" ht="14" x14ac:dyDescent="0.2">
      <c r="A35" s="5" t="s">
        <v>98</v>
      </c>
      <c r="B35" s="5" t="s">
        <v>48</v>
      </c>
      <c r="C35" s="12">
        <v>264.7</v>
      </c>
      <c r="D35" s="12">
        <v>404.5</v>
      </c>
      <c r="E35" s="12">
        <v>443.7</v>
      </c>
      <c r="F35" s="12">
        <v>327.3</v>
      </c>
      <c r="G35" s="12">
        <v>379</v>
      </c>
      <c r="H35" s="12">
        <v>365.3</v>
      </c>
      <c r="I35" s="12">
        <v>355</v>
      </c>
      <c r="J35" s="12">
        <v>378.3</v>
      </c>
      <c r="K35" s="12">
        <v>468.5</v>
      </c>
      <c r="M35" s="5" t="s">
        <v>50</v>
      </c>
    </row>
    <row r="36" spans="1:13" ht="14" x14ac:dyDescent="0.2">
      <c r="A36" s="5" t="s">
        <v>99</v>
      </c>
      <c r="B36" s="5" t="s">
        <v>48</v>
      </c>
      <c r="C36" s="12">
        <v>612.4</v>
      </c>
      <c r="D36" s="12">
        <v>125.5</v>
      </c>
      <c r="E36" s="12">
        <v>0</v>
      </c>
      <c r="F36" s="12">
        <v>0</v>
      </c>
      <c r="G36" s="12">
        <v>11.7</v>
      </c>
      <c r="H36" s="12">
        <v>32.4</v>
      </c>
      <c r="I36" s="12">
        <v>33.6</v>
      </c>
      <c r="J36" s="12">
        <v>1165.0999999999999</v>
      </c>
      <c r="K36" s="12">
        <v>22.8</v>
      </c>
      <c r="M36" s="5" t="s">
        <v>50</v>
      </c>
    </row>
    <row r="37" spans="1:13" ht="14" x14ac:dyDescent="0.2">
      <c r="A37" s="5" t="s">
        <v>100</v>
      </c>
      <c r="B37" s="5" t="s">
        <v>48</v>
      </c>
      <c r="C37" s="12">
        <v>989.3</v>
      </c>
      <c r="D37" s="12">
        <v>937.7</v>
      </c>
      <c r="E37" s="12">
        <v>1006.3</v>
      </c>
      <c r="F37" s="12">
        <v>1372.3</v>
      </c>
      <c r="G37" s="12">
        <v>1969.4</v>
      </c>
      <c r="H37" s="12">
        <v>1121.4000000000001</v>
      </c>
      <c r="I37" s="12">
        <v>1231.7</v>
      </c>
      <c r="J37" s="12">
        <v>1280.5</v>
      </c>
      <c r="K37" s="12">
        <v>0</v>
      </c>
      <c r="M37" s="5" t="s">
        <v>50</v>
      </c>
    </row>
    <row r="38" spans="1:13" ht="14" x14ac:dyDescent="0.2">
      <c r="A38" s="5" t="s">
        <v>101</v>
      </c>
      <c r="B38" s="5" t="s">
        <v>48</v>
      </c>
      <c r="C38" s="12">
        <v>1063.7</v>
      </c>
      <c r="D38" s="12">
        <v>1293</v>
      </c>
      <c r="E38" s="12">
        <v>1470.5</v>
      </c>
      <c r="F38" s="12">
        <v>1575.5</v>
      </c>
      <c r="G38" s="12">
        <v>1659</v>
      </c>
      <c r="H38" s="12">
        <v>1903.6</v>
      </c>
      <c r="I38" s="12">
        <v>2183.1</v>
      </c>
      <c r="J38" s="12">
        <v>2398.9</v>
      </c>
      <c r="K38" s="12">
        <v>2626.3</v>
      </c>
      <c r="M38" s="5" t="s">
        <v>50</v>
      </c>
    </row>
    <row r="39" spans="1:13" ht="14" x14ac:dyDescent="0.2">
      <c r="A39" s="5" t="s">
        <v>102</v>
      </c>
      <c r="B39" s="5" t="s">
        <v>48</v>
      </c>
      <c r="C39" s="12">
        <v>0</v>
      </c>
      <c r="D39" s="12">
        <v>0</v>
      </c>
      <c r="E39" s="12">
        <v>0</v>
      </c>
      <c r="F39" s="12">
        <v>1981.5</v>
      </c>
      <c r="G39" s="12">
        <v>0</v>
      </c>
      <c r="H39" s="12">
        <v>0</v>
      </c>
      <c r="I39" s="12">
        <v>0</v>
      </c>
      <c r="J39" s="12">
        <v>1980.3</v>
      </c>
      <c r="K39" s="12">
        <v>985.7</v>
      </c>
      <c r="M39" s="5" t="s">
        <v>50</v>
      </c>
    </row>
    <row r="40" spans="1:13" ht="14" x14ac:dyDescent="0.2">
      <c r="A40" s="5" t="s">
        <v>103</v>
      </c>
      <c r="B40" s="5" t="s">
        <v>48</v>
      </c>
      <c r="C40" s="12">
        <v>73</v>
      </c>
      <c r="D40" s="12">
        <v>21</v>
      </c>
      <c r="E40" s="12">
        <v>22</v>
      </c>
      <c r="F40" s="12">
        <v>1001.8</v>
      </c>
      <c r="G40" s="12">
        <v>9</v>
      </c>
      <c r="H40" s="12">
        <v>1</v>
      </c>
      <c r="I40" s="12">
        <v>0.9</v>
      </c>
      <c r="J40" s="12">
        <v>1001.2</v>
      </c>
      <c r="K40" s="12">
        <v>1.1000000000000001</v>
      </c>
      <c r="M40" s="5" t="s">
        <v>50</v>
      </c>
    </row>
    <row r="41" spans="1:13" ht="14" x14ac:dyDescent="0.2">
      <c r="A41" s="5"/>
      <c r="B41" s="5"/>
      <c r="J41" s="12"/>
    </row>
    <row r="42" spans="1:13" ht="14" x14ac:dyDescent="0.2">
      <c r="A42" s="2" t="s">
        <v>104</v>
      </c>
      <c r="B42" s="5"/>
    </row>
    <row r="43" spans="1:13" ht="14" x14ac:dyDescent="0.2">
      <c r="A43" s="5" t="s">
        <v>105</v>
      </c>
      <c r="B43" s="5" t="s">
        <v>48</v>
      </c>
      <c r="C43" s="12">
        <f t="shared" ref="C43:K43" si="6">C33-C34</f>
        <v>2309.1</v>
      </c>
      <c r="D43" s="12">
        <f t="shared" si="6"/>
        <v>2526.3000000000002</v>
      </c>
      <c r="E43" s="12">
        <f t="shared" si="6"/>
        <v>2853.5</v>
      </c>
      <c r="F43" s="12">
        <f t="shared" si="6"/>
        <v>2914.7000000000003</v>
      </c>
      <c r="G43" s="12">
        <f t="shared" si="6"/>
        <v>2925.1</v>
      </c>
      <c r="H43" s="12">
        <f t="shared" si="6"/>
        <v>4001.3</v>
      </c>
      <c r="I43" s="12">
        <f t="shared" si="6"/>
        <v>3949.2000000000003</v>
      </c>
      <c r="J43" s="12">
        <f t="shared" si="6"/>
        <v>4771</v>
      </c>
      <c r="K43" s="12">
        <f t="shared" si="6"/>
        <v>5244.5999999999995</v>
      </c>
    </row>
    <row r="44" spans="1:13" ht="14" x14ac:dyDescent="0.2">
      <c r="A44" s="5" t="s">
        <v>107</v>
      </c>
      <c r="B44" s="5" t="s">
        <v>48</v>
      </c>
      <c r="C44" s="12">
        <f t="shared" ref="C44:K44" si="7">C43-C35</f>
        <v>2044.3999999999999</v>
      </c>
      <c r="D44" s="12">
        <f t="shared" si="7"/>
        <v>2121.8000000000002</v>
      </c>
      <c r="E44" s="12">
        <f t="shared" si="7"/>
        <v>2409.8000000000002</v>
      </c>
      <c r="F44" s="12">
        <f t="shared" si="7"/>
        <v>2587.4</v>
      </c>
      <c r="G44" s="12">
        <f t="shared" si="7"/>
        <v>2546.1</v>
      </c>
      <c r="H44" s="12">
        <f t="shared" si="7"/>
        <v>3636</v>
      </c>
      <c r="I44" s="12">
        <f t="shared" si="7"/>
        <v>3594.2000000000003</v>
      </c>
      <c r="J44" s="12">
        <f t="shared" si="7"/>
        <v>4392.7</v>
      </c>
      <c r="K44" s="12">
        <f t="shared" si="7"/>
        <v>4776.0999999999995</v>
      </c>
    </row>
    <row r="45" spans="1:13" ht="14" x14ac:dyDescent="0.2">
      <c r="A45" s="5" t="s">
        <v>108</v>
      </c>
      <c r="B45" s="5" t="s">
        <v>109</v>
      </c>
      <c r="C45" s="15">
        <f t="shared" ref="C45:K45" si="8">C44/C20</f>
        <v>4.6117753214527406</v>
      </c>
      <c r="D45" s="15">
        <f t="shared" si="8"/>
        <v>4.8487202925045709</v>
      </c>
      <c r="E45" s="15">
        <f t="shared" si="8"/>
        <v>5.5692165472613828</v>
      </c>
      <c r="F45" s="15">
        <f t="shared" si="8"/>
        <v>6.0439149731371176</v>
      </c>
      <c r="G45" s="15">
        <f t="shared" si="8"/>
        <v>6.0463072904298265</v>
      </c>
      <c r="H45" s="15">
        <f t="shared" si="8"/>
        <v>8.7466923261967775</v>
      </c>
      <c r="I45" s="15">
        <f t="shared" si="8"/>
        <v>8.7195536147501223</v>
      </c>
      <c r="J45" s="15">
        <f t="shared" si="8"/>
        <v>10.747981404453144</v>
      </c>
      <c r="K45" s="15">
        <f t="shared" si="8"/>
        <v>11.842548970989336</v>
      </c>
    </row>
    <row r="46" spans="1:13" ht="14" x14ac:dyDescent="0.2">
      <c r="A46" s="5" t="s">
        <v>111</v>
      </c>
      <c r="B46" s="5" t="s">
        <v>48</v>
      </c>
      <c r="C46" s="12">
        <f t="shared" ref="C46:K46" si="9">C28+C29+C26+C27</f>
        <v>2585.8000000000002</v>
      </c>
      <c r="D46" s="12">
        <f t="shared" si="9"/>
        <v>2653.4</v>
      </c>
      <c r="E46" s="12">
        <f t="shared" si="9"/>
        <v>2362.5999999999995</v>
      </c>
      <c r="F46" s="12">
        <f t="shared" si="9"/>
        <v>3351.7</v>
      </c>
      <c r="G46" s="12">
        <f t="shared" si="9"/>
        <v>3494.4</v>
      </c>
      <c r="H46" s="12">
        <f t="shared" si="9"/>
        <v>3444.3</v>
      </c>
      <c r="I46" s="12">
        <f t="shared" si="9"/>
        <v>3705.3</v>
      </c>
      <c r="J46" s="12">
        <f t="shared" si="9"/>
        <v>9103.7999999999993</v>
      </c>
      <c r="K46" s="12">
        <f t="shared" si="9"/>
        <v>5410.1</v>
      </c>
    </row>
    <row r="47" spans="1:13" ht="14" x14ac:dyDescent="0.2">
      <c r="A47" s="5" t="s">
        <v>113</v>
      </c>
      <c r="B47" s="5" t="s">
        <v>48</v>
      </c>
      <c r="C47" s="12">
        <f t="shared" ref="C47:K47" si="10">C46+C30-C23-C24</f>
        <v>5148.3999999999996</v>
      </c>
      <c r="D47" s="12">
        <f t="shared" si="10"/>
        <v>6093.5999999999995</v>
      </c>
      <c r="E47" s="12">
        <f t="shared" si="10"/>
        <v>6206.2999999999993</v>
      </c>
      <c r="F47" s="12">
        <f t="shared" si="10"/>
        <v>6436.2</v>
      </c>
      <c r="G47" s="12">
        <f t="shared" si="10"/>
        <v>5268.7000000000007</v>
      </c>
      <c r="H47" s="12">
        <f t="shared" si="10"/>
        <v>4539.1000000000004</v>
      </c>
      <c r="I47" s="12">
        <f t="shared" si="10"/>
        <v>4955.5000000000018</v>
      </c>
      <c r="J47" s="12">
        <f t="shared" si="10"/>
        <v>7445.2</v>
      </c>
      <c r="K47" s="12">
        <f t="shared" si="10"/>
        <v>7211.1999999999989</v>
      </c>
    </row>
    <row r="48" spans="1:13" ht="14" x14ac:dyDescent="0.2">
      <c r="A48" s="5" t="s">
        <v>117</v>
      </c>
      <c r="B48" s="5" t="s">
        <v>48</v>
      </c>
      <c r="C48" s="12">
        <f t="shared" ref="C48:K48" si="11">C47-C25</f>
        <v>2904.8999999999996</v>
      </c>
      <c r="D48" s="12">
        <f t="shared" si="11"/>
        <v>3770.5999999999995</v>
      </c>
      <c r="E48" s="12">
        <f t="shared" si="11"/>
        <v>3896.8999999999992</v>
      </c>
      <c r="F48" s="12">
        <f t="shared" si="11"/>
        <v>4097.7999999999993</v>
      </c>
      <c r="G48" s="12">
        <f t="shared" si="11"/>
        <v>2968.2000000000007</v>
      </c>
      <c r="H48" s="12">
        <f t="shared" si="11"/>
        <v>2199.7000000000003</v>
      </c>
      <c r="I48" s="12">
        <f t="shared" si="11"/>
        <v>2601.9000000000019</v>
      </c>
      <c r="J48" s="12">
        <f t="shared" si="11"/>
        <v>4171.7</v>
      </c>
      <c r="K48" s="12">
        <f t="shared" si="11"/>
        <v>3926.7999999999988</v>
      </c>
    </row>
    <row r="49" spans="1:25" ht="14" x14ac:dyDescent="0.2">
      <c r="A49" s="5" t="s">
        <v>120</v>
      </c>
      <c r="B49" s="5" t="s">
        <v>48</v>
      </c>
      <c r="D49" s="12">
        <f t="shared" ref="D49:K49" si="12">AVERAGE(C47:D47)</f>
        <v>5621</v>
      </c>
      <c r="E49" s="12">
        <f t="shared" si="12"/>
        <v>6149.9499999999989</v>
      </c>
      <c r="F49" s="12">
        <f t="shared" si="12"/>
        <v>6321.25</v>
      </c>
      <c r="G49" s="12">
        <f t="shared" si="12"/>
        <v>5852.4500000000007</v>
      </c>
      <c r="H49" s="12">
        <f t="shared" si="12"/>
        <v>4903.9000000000005</v>
      </c>
      <c r="I49" s="12">
        <f t="shared" si="12"/>
        <v>4747.3000000000011</v>
      </c>
      <c r="J49" s="12">
        <f t="shared" si="12"/>
        <v>6200.35</v>
      </c>
      <c r="K49" s="12">
        <f t="shared" si="12"/>
        <v>7328.1999999999989</v>
      </c>
    </row>
    <row r="50" spans="1:25" ht="14" x14ac:dyDescent="0.2">
      <c r="A50" s="5" t="s">
        <v>120</v>
      </c>
      <c r="B50" s="5" t="s">
        <v>48</v>
      </c>
      <c r="D50" s="12">
        <f t="shared" ref="D50:K50" si="13">AVERAGE(C48:D48)</f>
        <v>3337.7499999999995</v>
      </c>
      <c r="E50" s="12">
        <f t="shared" si="13"/>
        <v>3833.7499999999991</v>
      </c>
      <c r="F50" s="12">
        <f t="shared" si="13"/>
        <v>3997.3499999999995</v>
      </c>
      <c r="G50" s="12">
        <f t="shared" si="13"/>
        <v>3533</v>
      </c>
      <c r="H50" s="12">
        <f t="shared" si="13"/>
        <v>2583.9500000000007</v>
      </c>
      <c r="I50" s="12">
        <f t="shared" si="13"/>
        <v>2400.8000000000011</v>
      </c>
      <c r="J50" s="12">
        <f t="shared" si="13"/>
        <v>3386.8000000000011</v>
      </c>
      <c r="K50" s="12">
        <f t="shared" si="13"/>
        <v>4049.2499999999991</v>
      </c>
    </row>
    <row r="51" spans="1:25" ht="14" x14ac:dyDescent="0.2">
      <c r="A51" s="31" t="s">
        <v>123</v>
      </c>
      <c r="B51" s="31" t="s">
        <v>48</v>
      </c>
      <c r="C51" s="32">
        <f t="shared" ref="C51:K51" si="14">C12*(1-C18)</f>
        <v>1982.8361868045217</v>
      </c>
      <c r="D51" s="32">
        <f t="shared" si="14"/>
        <v>2208.0481767367583</v>
      </c>
      <c r="E51" s="32">
        <f t="shared" si="14"/>
        <v>2351.8006975428884</v>
      </c>
      <c r="F51" s="32">
        <f t="shared" si="14"/>
        <v>2524.0517225990716</v>
      </c>
      <c r="G51" s="32">
        <f t="shared" si="14"/>
        <v>2884.7142740727104</v>
      </c>
      <c r="H51" s="32">
        <f t="shared" si="14"/>
        <v>3270.9097710474134</v>
      </c>
      <c r="I51" s="32">
        <f t="shared" si="14"/>
        <v>3531.221640703568</v>
      </c>
      <c r="J51" s="32">
        <f t="shared" si="14"/>
        <v>3807.6482928758419</v>
      </c>
      <c r="K51" s="32">
        <f t="shared" si="14"/>
        <v>4097.254236252902</v>
      </c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4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4" x14ac:dyDescent="0.2">
      <c r="A53" s="33" t="s">
        <v>125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4" x14ac:dyDescent="0.2">
      <c r="A54" s="31" t="s">
        <v>126</v>
      </c>
      <c r="B54" s="31" t="s">
        <v>80</v>
      </c>
      <c r="C54" s="34">
        <f t="shared" ref="C54:J54" si="15">IFERROR(C9/C3,"")</f>
        <v>0.41157282548100832</v>
      </c>
      <c r="D54" s="34">
        <f t="shared" si="15"/>
        <v>0.43150345140394891</v>
      </c>
      <c r="E54" s="34">
        <f t="shared" si="15"/>
        <v>0.42116410094723705</v>
      </c>
      <c r="F54" s="34">
        <f t="shared" si="15"/>
        <v>0.42418729257467314</v>
      </c>
      <c r="G54" s="34">
        <f t="shared" si="15"/>
        <v>0.42649242649242647</v>
      </c>
      <c r="H54" s="34">
        <f t="shared" si="15"/>
        <v>0.44740786800057741</v>
      </c>
      <c r="I54" s="34">
        <f t="shared" si="15"/>
        <v>0.45441242331767567</v>
      </c>
      <c r="J54" s="34">
        <f t="shared" si="15"/>
        <v>0.46027168071436569</v>
      </c>
      <c r="K54" s="34">
        <f>K9/K3</f>
        <v>0.46416432014726117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4" x14ac:dyDescent="0.2">
      <c r="A55" s="31" t="s">
        <v>127</v>
      </c>
      <c r="B55" s="31" t="s">
        <v>80</v>
      </c>
      <c r="C55" s="34">
        <f t="shared" ref="C55:J55" si="16">IFERROR(C12/C3,"")</f>
        <v>0.18089225716050689</v>
      </c>
      <c r="D55" s="34">
        <f t="shared" si="16"/>
        <v>0.20513529219996882</v>
      </c>
      <c r="E55" s="34">
        <f t="shared" si="16"/>
        <v>0.2079946263828153</v>
      </c>
      <c r="F55" s="34">
        <f t="shared" si="16"/>
        <v>0.21758167059858449</v>
      </c>
      <c r="G55" s="34">
        <f t="shared" si="16"/>
        <v>0.22555657249534797</v>
      </c>
      <c r="H55" s="34">
        <f t="shared" si="16"/>
        <v>0.23617881213843953</v>
      </c>
      <c r="I55" s="34">
        <f t="shared" si="16"/>
        <v>0.23880099569849911</v>
      </c>
      <c r="J55" s="34">
        <f t="shared" si="16"/>
        <v>0.24104003229430626</v>
      </c>
      <c r="K55" s="34">
        <f>K12/K3</f>
        <v>0.24238406371597548</v>
      </c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4" x14ac:dyDescent="0.2">
      <c r="A56" s="31" t="s">
        <v>128</v>
      </c>
      <c r="B56" s="31" t="s">
        <v>80</v>
      </c>
      <c r="C56" s="34">
        <f t="shared" ref="C56:J56" si="17">IFERROR(C7/C3,"")</f>
        <v>3.5143360805170928E-2</v>
      </c>
      <c r="D56" s="34">
        <f t="shared" si="17"/>
        <v>3.9822256240166685E-2</v>
      </c>
      <c r="E56" s="34">
        <f t="shared" si="17"/>
        <v>3.7368572564394305E-2</v>
      </c>
      <c r="F56" s="34">
        <f t="shared" si="17"/>
        <v>2.814986604822264E-2</v>
      </c>
      <c r="G56" s="34">
        <f t="shared" si="17"/>
        <v>2.7384639629537591E-2</v>
      </c>
      <c r="H56" s="34">
        <f t="shared" si="17"/>
        <v>4.5158281609131587E-2</v>
      </c>
      <c r="I56" s="34">
        <f t="shared" si="17"/>
        <v>5.3362565485923788E-2</v>
      </c>
      <c r="J56" s="34">
        <f t="shared" si="17"/>
        <v>5.7833071509515624E-2</v>
      </c>
      <c r="K56" s="34">
        <f>K7/K3</f>
        <v>6.1729407583586207E-2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4" x14ac:dyDescent="0.2">
      <c r="A57" s="31" t="s">
        <v>129</v>
      </c>
      <c r="B57" s="31" t="s">
        <v>80</v>
      </c>
      <c r="C57" s="34">
        <f t="shared" ref="C57:J57" si="18">IFERROR(C7/C12,"")</f>
        <v>0.19427786106946521</v>
      </c>
      <c r="D57" s="34">
        <f t="shared" si="18"/>
        <v>0.19412679219208845</v>
      </c>
      <c r="E57" s="34">
        <f t="shared" si="18"/>
        <v>0.17966124036116796</v>
      </c>
      <c r="F57" s="34">
        <f t="shared" si="18"/>
        <v>0.12937609115133694</v>
      </c>
      <c r="G57" s="34">
        <f t="shared" si="18"/>
        <v>0.1214091849622444</v>
      </c>
      <c r="H57" s="34">
        <f t="shared" si="18"/>
        <v>0.19120377988293644</v>
      </c>
      <c r="I57" s="34">
        <f t="shared" si="18"/>
        <v>0.22346039776692261</v>
      </c>
      <c r="J57" s="34">
        <f t="shared" si="18"/>
        <v>0.23993139628732837</v>
      </c>
      <c r="K57" s="34">
        <f>K7/K12</f>
        <v>0.25467601556478747</v>
      </c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4" x14ac:dyDescent="0.2">
      <c r="A58" s="31" t="s">
        <v>130</v>
      </c>
      <c r="B58" s="31" t="s">
        <v>80</v>
      </c>
      <c r="C58" s="34">
        <f t="shared" ref="C58:K58" si="19">(C44-C7+C10)/(C3-C7)</f>
        <v>0.13121793920844491</v>
      </c>
      <c r="D58" s="34">
        <f t="shared" si="19"/>
        <v>0.12472413513134489</v>
      </c>
      <c r="E58" s="34">
        <f t="shared" si="19"/>
        <v>0.14038847670990987</v>
      </c>
      <c r="F58" s="34">
        <f t="shared" si="19"/>
        <v>0.15255434409929369</v>
      </c>
      <c r="G58" s="34">
        <f t="shared" si="19"/>
        <v>0.13561835914373849</v>
      </c>
      <c r="H58" s="34">
        <f t="shared" si="19"/>
        <v>0.17884387282833689</v>
      </c>
      <c r="I58" s="34">
        <f t="shared" si="19"/>
        <v>0.16123424598000871</v>
      </c>
      <c r="J58" s="34">
        <f t="shared" si="19"/>
        <v>0.18890861974622902</v>
      </c>
      <c r="K58" s="34">
        <f t="shared" si="19"/>
        <v>0.18844633509124634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4" x14ac:dyDescent="0.2">
      <c r="A59" s="31" t="s">
        <v>131</v>
      </c>
      <c r="B59" s="31" t="s">
        <v>80</v>
      </c>
      <c r="C59" s="34">
        <f t="shared" ref="C59:K59" si="20">(C7-C10)/C7</f>
        <v>0.77984994640943195</v>
      </c>
      <c r="D59" s="34">
        <f t="shared" si="20"/>
        <v>0.76882007474639613</v>
      </c>
      <c r="E59" s="34">
        <f t="shared" si="20"/>
        <v>0.80355832721936904</v>
      </c>
      <c r="F59" s="34">
        <f t="shared" si="20"/>
        <v>0.85866477272727271</v>
      </c>
      <c r="G59" s="34">
        <f t="shared" si="20"/>
        <v>0.81872509960159356</v>
      </c>
      <c r="H59" s="34">
        <f t="shared" si="20"/>
        <v>0.68859109909023841</v>
      </c>
      <c r="I59" s="34">
        <f t="shared" si="20"/>
        <v>0.64731140821703914</v>
      </c>
      <c r="J59" s="34">
        <f t="shared" si="20"/>
        <v>0.61660079051383399</v>
      </c>
      <c r="K59" s="34">
        <f t="shared" si="20"/>
        <v>0.66098317094774139</v>
      </c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4" x14ac:dyDescent="0.2">
      <c r="A60" s="31" t="s">
        <v>132</v>
      </c>
      <c r="B60" s="31" t="s">
        <v>80</v>
      </c>
      <c r="C60" s="34">
        <f t="shared" ref="C60:K60" si="21">C44/C3</f>
        <v>0.15401304786729142</v>
      </c>
      <c r="D60" s="34">
        <f t="shared" si="21"/>
        <v>0.15037348868194639</v>
      </c>
      <c r="E60" s="34">
        <f t="shared" si="21"/>
        <v>0.16517018739119113</v>
      </c>
      <c r="F60" s="34">
        <f t="shared" si="21"/>
        <v>0.17243125808042439</v>
      </c>
      <c r="G60" s="34">
        <f t="shared" si="21"/>
        <v>0.15432499105968495</v>
      </c>
      <c r="H60" s="34">
        <f t="shared" si="21"/>
        <v>0.20186318162134553</v>
      </c>
      <c r="I60" s="34">
        <f t="shared" si="21"/>
        <v>0.18717257038109425</v>
      </c>
      <c r="J60" s="34">
        <f t="shared" si="21"/>
        <v>0.21364337164229191</v>
      </c>
      <c r="K60" s="34">
        <f t="shared" si="21"/>
        <v>0.21761575403009009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4" x14ac:dyDescent="0.2">
      <c r="A61" s="31" t="s">
        <v>133</v>
      </c>
      <c r="B61" s="31" t="s">
        <v>80</v>
      </c>
      <c r="C61" s="31"/>
      <c r="D61" s="34">
        <f t="shared" ref="D61:J61" si="22">IFERROR(D51/D49,"")</f>
        <v>0.39282123763329624</v>
      </c>
      <c r="E61" s="34">
        <f t="shared" si="22"/>
        <v>0.38240972650881533</v>
      </c>
      <c r="F61" s="34">
        <f t="shared" si="22"/>
        <v>0.39929629782069553</v>
      </c>
      <c r="G61" s="34">
        <f t="shared" si="22"/>
        <v>0.49290711993655822</v>
      </c>
      <c r="H61" s="34">
        <f t="shared" si="22"/>
        <v>0.66700172741030872</v>
      </c>
      <c r="I61" s="34">
        <f t="shared" si="22"/>
        <v>0.74383789537285772</v>
      </c>
      <c r="J61" s="34">
        <f t="shared" si="22"/>
        <v>0.61410215437448556</v>
      </c>
      <c r="K61" s="34">
        <f>K51/K49</f>
        <v>0.55910786226534515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4" x14ac:dyDescent="0.2">
      <c r="A62" s="31" t="s">
        <v>134</v>
      </c>
      <c r="B62" s="31" t="s">
        <v>80</v>
      </c>
      <c r="C62" s="31"/>
      <c r="D62" s="34">
        <f t="shared" ref="D62:J62" si="23">IFERROR(D51/D50,"")</f>
        <v>0.66153791528327721</v>
      </c>
      <c r="E62" s="34">
        <f t="shared" si="23"/>
        <v>0.61344654647352825</v>
      </c>
      <c r="F62" s="34">
        <f t="shared" si="23"/>
        <v>0.63143125385544718</v>
      </c>
      <c r="G62" s="34">
        <f t="shared" si="23"/>
        <v>0.81650559696368818</v>
      </c>
      <c r="H62" s="34">
        <f t="shared" si="23"/>
        <v>1.2658564488660433</v>
      </c>
      <c r="I62" s="34">
        <f t="shared" si="23"/>
        <v>1.4708520662710622</v>
      </c>
      <c r="J62" s="34">
        <f t="shared" si="23"/>
        <v>1.1242613360327862</v>
      </c>
      <c r="K62" s="34">
        <f>K51/K50</f>
        <v>1.0118550932278578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4" x14ac:dyDescent="0.2">
      <c r="A63" s="31" t="s">
        <v>135</v>
      </c>
      <c r="B63" s="31" t="s">
        <v>80</v>
      </c>
      <c r="C63" s="31"/>
      <c r="D63" s="31"/>
      <c r="E63" s="31"/>
      <c r="F63" s="34">
        <f t="shared" ref="F63:J63" si="24">IFERROR((F51-C51)/(F47-C47),"")</f>
        <v>0.4202636556876454</v>
      </c>
      <c r="G63" s="34">
        <f t="shared" si="24"/>
        <v>-0.82030076049939771</v>
      </c>
      <c r="H63" s="34">
        <f t="shared" si="24"/>
        <v>-0.55128903161259935</v>
      </c>
      <c r="I63" s="34">
        <f t="shared" si="24"/>
        <v>-0.6801984994289848</v>
      </c>
      <c r="J63" s="34">
        <f t="shared" si="24"/>
        <v>0.42404503505772195</v>
      </c>
      <c r="K63" s="34">
        <f>(K51-H51)/(K47-H47)</f>
        <v>0.3092490794526736</v>
      </c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4" x14ac:dyDescent="0.2">
      <c r="A64" s="31" t="s">
        <v>136</v>
      </c>
      <c r="B64" s="31" t="s">
        <v>80</v>
      </c>
      <c r="C64" s="31"/>
      <c r="D64" s="31"/>
      <c r="E64" s="31"/>
      <c r="F64" s="31"/>
      <c r="G64" s="31"/>
      <c r="H64" s="34">
        <f t="shared" ref="H64:J64" si="25">IFERROR((H51-C51)/(H47-C47),"")</f>
        <v>-2.1140219665893536</v>
      </c>
      <c r="I64" s="34">
        <f t="shared" si="25"/>
        <v>-1.1626161707818403</v>
      </c>
      <c r="J64" s="34">
        <f t="shared" si="25"/>
        <v>1.1751130804204963</v>
      </c>
      <c r="K64" s="34">
        <f>(K51-F51)/(K47-F47)</f>
        <v>2.0299387272952676</v>
      </c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4" x14ac:dyDescent="0.2">
      <c r="A65" s="31" t="s">
        <v>137</v>
      </c>
      <c r="B65" s="31" t="s">
        <v>48</v>
      </c>
      <c r="C65" s="35">
        <f t="shared" ref="C65:K65" si="26">SUM(C26:C29)-SUM(C23:C24)</f>
        <v>412.5</v>
      </c>
      <c r="D65" s="35">
        <f t="shared" si="26"/>
        <v>693.7</v>
      </c>
      <c r="E65" s="35">
        <f t="shared" si="26"/>
        <v>454.09999999999991</v>
      </c>
      <c r="F65" s="35">
        <f t="shared" si="26"/>
        <v>766.09999999999991</v>
      </c>
      <c r="G65" s="35">
        <f t="shared" si="26"/>
        <v>2043.4</v>
      </c>
      <c r="H65" s="35">
        <f t="shared" si="26"/>
        <v>1313.8000000000002</v>
      </c>
      <c r="I65" s="35">
        <f t="shared" si="26"/>
        <v>407.90000000000009</v>
      </c>
      <c r="J65" s="35">
        <f t="shared" si="26"/>
        <v>1257.1999999999989</v>
      </c>
      <c r="K65" s="35">
        <f t="shared" si="26"/>
        <v>1180</v>
      </c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4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4" x14ac:dyDescent="0.2">
      <c r="A67" s="33" t="s">
        <v>140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4" x14ac:dyDescent="0.2">
      <c r="A68" s="31" t="s">
        <v>141</v>
      </c>
      <c r="B68" s="31" t="s">
        <v>48</v>
      </c>
      <c r="C68" s="35">
        <v>24332.6</v>
      </c>
      <c r="D68" s="35">
        <v>25458.5</v>
      </c>
      <c r="E68" s="35">
        <v>25990.3</v>
      </c>
      <c r="F68" s="35">
        <v>27353.1</v>
      </c>
      <c r="G68" s="35">
        <v>32480.3</v>
      </c>
      <c r="H68" s="35">
        <v>34142.800000000003</v>
      </c>
      <c r="I68" s="35">
        <v>35369.5</v>
      </c>
      <c r="J68" s="35">
        <v>37631.199999999997</v>
      </c>
      <c r="K68" s="35">
        <v>40410.699999999997</v>
      </c>
      <c r="L68" s="34"/>
      <c r="M68" s="31" t="s">
        <v>143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4" x14ac:dyDescent="0.2">
      <c r="A69" s="31" t="s">
        <v>144</v>
      </c>
      <c r="B69" s="31" t="s">
        <v>80</v>
      </c>
      <c r="C69" s="34">
        <v>1.9E-2</v>
      </c>
      <c r="D69" s="34">
        <v>2.1999999999999999E-2</v>
      </c>
      <c r="E69" s="34">
        <v>2.1000000000000001E-2</v>
      </c>
      <c r="F69" s="34">
        <v>1.4999999999999999E-2</v>
      </c>
      <c r="G69" s="34">
        <v>1.4E-2</v>
      </c>
      <c r="H69" s="34">
        <v>2.4E-2</v>
      </c>
      <c r="I69" s="34">
        <v>0.03</v>
      </c>
      <c r="J69" s="34">
        <v>3.2000000000000001E-2</v>
      </c>
      <c r="K69" s="34">
        <v>3.4000000000000002E-2</v>
      </c>
      <c r="L69" s="31"/>
      <c r="M69" s="31" t="s">
        <v>143</v>
      </c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4" x14ac:dyDescent="0.2">
      <c r="A70" s="31" t="s">
        <v>145</v>
      </c>
      <c r="B70" s="31" t="s">
        <v>80</v>
      </c>
      <c r="C70" s="34">
        <v>2.7E-2</v>
      </c>
      <c r="D70" s="34">
        <v>2.7E-2</v>
      </c>
      <c r="E70" s="34">
        <v>-0.01</v>
      </c>
      <c r="F70" s="34">
        <v>-0.03</v>
      </c>
      <c r="G70" s="34">
        <v>7.0000000000000007E-2</v>
      </c>
      <c r="H70" s="34">
        <v>4.7E-2</v>
      </c>
      <c r="I70" s="34">
        <v>0.02</v>
      </c>
      <c r="J70" s="34">
        <v>0.01</v>
      </c>
      <c r="K70" s="34">
        <v>0.01</v>
      </c>
      <c r="L70" s="31"/>
      <c r="M70" s="31" t="s">
        <v>146</v>
      </c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 ht="14" x14ac:dyDescent="0.2">
      <c r="A71" s="31" t="s">
        <v>148</v>
      </c>
      <c r="B71" s="31" t="s">
        <v>80</v>
      </c>
      <c r="C71" s="34">
        <v>0.90400000000000003</v>
      </c>
      <c r="D71" s="34">
        <v>0.90800000000000003</v>
      </c>
      <c r="E71" s="34">
        <v>0.90500000000000003</v>
      </c>
      <c r="F71" s="34">
        <v>0.92200000000000004</v>
      </c>
      <c r="G71" s="34">
        <v>0.92100000000000004</v>
      </c>
      <c r="H71" s="34">
        <v>0.92200000000000004</v>
      </c>
      <c r="I71" s="34">
        <v>0.92</v>
      </c>
      <c r="J71" s="34">
        <v>0.92100000000000004</v>
      </c>
      <c r="K71" s="34">
        <v>0.92100000000000004</v>
      </c>
      <c r="L71" s="31"/>
      <c r="M71" s="31" t="s">
        <v>146</v>
      </c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 ht="14" x14ac:dyDescent="0.2">
      <c r="A72" s="31" t="s">
        <v>149</v>
      </c>
      <c r="B72" s="31" t="s">
        <v>150</v>
      </c>
      <c r="C72" s="36">
        <v>504000</v>
      </c>
      <c r="D72" s="36">
        <v>547000</v>
      </c>
      <c r="E72" s="36">
        <v>571000</v>
      </c>
      <c r="F72" s="36">
        <v>616000</v>
      </c>
      <c r="G72" s="36">
        <v>704000</v>
      </c>
      <c r="H72" s="36">
        <v>722000</v>
      </c>
      <c r="I72" s="36">
        <v>742000</v>
      </c>
      <c r="J72" s="36">
        <v>761000</v>
      </c>
      <c r="K72" s="36">
        <v>770000</v>
      </c>
      <c r="L72" s="31"/>
      <c r="M72" s="31" t="s">
        <v>146</v>
      </c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 ht="14" x14ac:dyDescent="0.2">
      <c r="A73" s="31" t="s">
        <v>152</v>
      </c>
      <c r="B73" s="31" t="s">
        <v>80</v>
      </c>
      <c r="C73" s="34">
        <v>0.08</v>
      </c>
      <c r="D73" s="34">
        <v>0.08</v>
      </c>
      <c r="E73" s="34">
        <v>-0.21</v>
      </c>
      <c r="F73" s="34">
        <v>0.23</v>
      </c>
      <c r="G73" s="34">
        <v>0.15</v>
      </c>
      <c r="H73" s="34">
        <v>0.1</v>
      </c>
      <c r="I73" s="34">
        <v>7.0000000000000007E-2</v>
      </c>
      <c r="J73" s="34">
        <v>0.03</v>
      </c>
      <c r="K73" s="34">
        <v>0.06</v>
      </c>
      <c r="L73" s="31"/>
      <c r="M73" s="31" t="s">
        <v>146</v>
      </c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 ht="14" x14ac:dyDescent="0.2">
      <c r="A74" s="31" t="s">
        <v>153</v>
      </c>
      <c r="B74" s="31" t="s">
        <v>154</v>
      </c>
      <c r="C74" s="37">
        <f t="shared" ref="C74:J74" si="27">IFERROR(C6*1000000/C72,"")</f>
        <v>2815.8730158730164</v>
      </c>
      <c r="D74" s="37">
        <f t="shared" si="27"/>
        <v>2797.4405850091402</v>
      </c>
      <c r="E74" s="37">
        <f t="shared" si="27"/>
        <v>2808.7565674255698</v>
      </c>
      <c r="F74" s="37">
        <f t="shared" si="27"/>
        <v>2802.4350649350654</v>
      </c>
      <c r="G74" s="37">
        <f t="shared" si="27"/>
        <v>2885.369318181818</v>
      </c>
      <c r="H74" s="37">
        <f t="shared" si="27"/>
        <v>3013.7119113573408</v>
      </c>
      <c r="I74" s="37">
        <f t="shared" si="27"/>
        <v>3030.1886792452829</v>
      </c>
      <c r="J74" s="37">
        <f t="shared" si="27"/>
        <v>3141.3929040735879</v>
      </c>
      <c r="K74" s="37">
        <f>K6*1000000/K72</f>
        <v>3273.7662337662337</v>
      </c>
      <c r="L74" s="34"/>
      <c r="M74" s="31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 ht="14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 ht="16.5" customHeight="1" x14ac:dyDescent="0.2">
      <c r="A76" s="33" t="s">
        <v>156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5" ht="14" x14ac:dyDescent="0.2">
      <c r="A77" s="31" t="s">
        <v>157</v>
      </c>
      <c r="B77" s="34">
        <f>((K3-K5)/(C3-C5))^(1/9)-1</f>
        <v>5.3896514362980597E-2</v>
      </c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4" x14ac:dyDescent="0.2">
      <c r="A78" s="31" t="s">
        <v>81</v>
      </c>
      <c r="B78" s="34">
        <f>(K19/C19)^(1/9)-1</f>
        <v>9.9144977136247814E-2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4" x14ac:dyDescent="0.2">
      <c r="A79" s="31" t="s">
        <v>158</v>
      </c>
      <c r="B79" s="34">
        <f>(K44/C44)^(1/9)-1</f>
        <v>9.8867381560186818E-2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4" x14ac:dyDescent="0.2">
      <c r="A80" s="5" t="s">
        <v>141</v>
      </c>
      <c r="B80" s="13">
        <f>(K68/C68)^(1/9)-1</f>
        <v>5.7982905846414301E-2</v>
      </c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4" x14ac:dyDescent="0.2">
      <c r="A81" s="31" t="s">
        <v>159</v>
      </c>
      <c r="B81" s="34">
        <f>(K20/C20)^(1/9)-1</f>
        <v>-1.045232852554645E-2</v>
      </c>
      <c r="C81" s="31"/>
      <c r="D81" s="31"/>
      <c r="E81" s="31"/>
      <c r="F81" s="31"/>
      <c r="G81" s="31"/>
      <c r="H81" s="31"/>
      <c r="I81" s="31"/>
      <c r="J81" s="31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:25" ht="14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:25" ht="14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4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4" x14ac:dyDescent="0.2">
      <c r="A85" s="33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4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4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4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4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4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4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4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:25" ht="14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:25" ht="14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 ht="14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5" ht="14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4" x14ac:dyDescent="0.2">
      <c r="A97" s="33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4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4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4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4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4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4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4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4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4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4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93"/>
  <sheetViews>
    <sheetView workbookViewId="0">
      <pane xSplit="1" topLeftCell="G1" activePane="topRight" state="frozen"/>
      <selection pane="topRight" activeCell="C2" sqref="C2"/>
    </sheetView>
  </sheetViews>
  <sheetFormatPr baseColWidth="10" defaultColWidth="14.3984375" defaultRowHeight="15.75" customHeight="1" x14ac:dyDescent="0.2"/>
  <sheetData>
    <row r="1" spans="1:27" x14ac:dyDescent="0.2">
      <c r="A1" s="1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">
      <c r="A2" s="6" t="s">
        <v>7</v>
      </c>
      <c r="B2" s="7" t="s">
        <v>10</v>
      </c>
      <c r="C2" s="7" t="s">
        <v>13</v>
      </c>
      <c r="D2" s="7" t="s">
        <v>15</v>
      </c>
      <c r="E2" s="7" t="s">
        <v>17</v>
      </c>
      <c r="F2" s="6" t="s">
        <v>19</v>
      </c>
      <c r="G2" s="7" t="s">
        <v>21</v>
      </c>
      <c r="H2" s="7" t="s">
        <v>23</v>
      </c>
      <c r="I2" s="6" t="s">
        <v>25</v>
      </c>
      <c r="J2" s="7" t="s">
        <v>26</v>
      </c>
      <c r="K2" s="7" t="s">
        <v>27</v>
      </c>
      <c r="L2" s="6" t="s">
        <v>28</v>
      </c>
      <c r="M2" s="7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9" t="s">
        <v>35</v>
      </c>
      <c r="S2" s="6" t="s">
        <v>37</v>
      </c>
      <c r="T2" s="6" t="s">
        <v>39</v>
      </c>
      <c r="U2" s="6" t="s">
        <v>40</v>
      </c>
      <c r="V2" s="6" t="s">
        <v>41</v>
      </c>
      <c r="W2" s="6" t="s">
        <v>42</v>
      </c>
      <c r="X2" s="6" t="s">
        <v>43</v>
      </c>
      <c r="Y2" s="3"/>
      <c r="Z2" s="3"/>
      <c r="AA2" s="3"/>
    </row>
    <row r="3" spans="1:27" x14ac:dyDescent="0.2">
      <c r="A3" s="6" t="s">
        <v>45</v>
      </c>
      <c r="B3" s="10">
        <v>7</v>
      </c>
      <c r="C3" s="10">
        <v>9</v>
      </c>
      <c r="D3" s="10">
        <v>8</v>
      </c>
      <c r="E3" s="10">
        <v>9</v>
      </c>
      <c r="F3" s="6" t="str">
        <f t="shared" ref="F3:F5" si="0">IF(AND(E3&gt;C3,D3&gt;B3),"Raised",IF(AND(E3=C3,D3&gt;B3),"Floor up",IF(AND(E3&lt;C3,D3&gt;B3),"Narrowed",IF(AND(E3=C3,D3=B3),"Unchanged",IF(AND(E3&lt;C3,D3=B3),"Trimmed top",IF(AND(E3&lt;C3,D3&lt;B3),"Cut","Mixed"))))))</f>
        <v>Floor up</v>
      </c>
      <c r="G3" s="10">
        <v>8</v>
      </c>
      <c r="H3" s="10">
        <v>9</v>
      </c>
      <c r="I3" s="6" t="str">
        <f t="shared" ref="I3:I5" si="1">IF(AND(H3&gt;E3,G3&gt;D3),"Raised",IF(AND(H3=E3,G3&gt;D3),"Floor up",IF(AND(H3&lt;E3,G3&gt;D3),"Narrowed",IF(AND(H3=E3,G3=D3),"Unchanged",IF(AND(H3&lt;E3,G3=D3),"Trimmed top",IF(AND(H3&lt;E3,G3&lt;D3),"Cut","Mixed"))))))</f>
        <v>Unchanged</v>
      </c>
      <c r="J3" s="10">
        <v>8</v>
      </c>
      <c r="K3" s="10">
        <v>9</v>
      </c>
      <c r="L3" s="6" t="str">
        <f t="shared" ref="L3:L5" si="2">IF(AND(K3&gt;H3,J3&gt;G3),"Raised",IF(AND(K3=H3,J3&gt;G3),"Floor up",IF(AND(K3&lt;H3,J3&gt;G3),"Narrowed",IF(AND(K3=H3,J3=G3),"Unchanged",IF(AND(K3&lt;H3,J3=G3),"Trimmed top",IF(AND(K3&lt;H3,J3&lt;G3),"Cut","Mixed"))))))</f>
        <v>Unchanged</v>
      </c>
      <c r="M3" s="10">
        <v>9</v>
      </c>
      <c r="N3" s="6" t="str">
        <f t="shared" ref="N3:N5" si="3">IF(M3&gt;C3,"Beat",IF(M3&lt;B3,"Missed",IF(AND(B3&lt;=M3,M3&lt;=C3),"In range")))</f>
        <v>In range</v>
      </c>
      <c r="O3" s="10">
        <f t="shared" ref="O3:O5" si="4">SUM(IF(F3="Raised",1,0)+IF(I3="Raised",1,0)+IF(L3="Raised",1,0))</f>
        <v>0</v>
      </c>
      <c r="P3" s="10">
        <f t="shared" ref="P3:P5" si="5">SUM(IF(F3="Floor up",1,0)+IF(I3="Floor up",1,0)+IF(L3="Floor up",1,0))</f>
        <v>1</v>
      </c>
      <c r="Q3" s="10">
        <f t="shared" ref="Q3:Q5" si="6">SUM(IF(F3="Narrowed",1,0)+IF(I3="Narrowed",1,0)+IF(L3="Narrowed",1,0))</f>
        <v>0</v>
      </c>
      <c r="R3" s="10">
        <f t="shared" ref="R3:R5" si="7">SUM(IF(F3="Unchanged",1,0)+IF(I3="Unchanged",1,0)+IF(L3="Unchanged",1,0))</f>
        <v>2</v>
      </c>
      <c r="S3" s="10">
        <f t="shared" ref="S3:S5" si="8">SUM(IF(F3="Trimmed top",1,0)+IF(I3="Trimmed top",1,0)+IF(L3="Trimmed top",1,0))</f>
        <v>0</v>
      </c>
      <c r="T3" s="10">
        <f t="shared" ref="T3:T5" si="9">SUM(IF(F3="Cut",1,0)+IF(I3="Cut",1,0)+IF(L3="Cut",1,0))</f>
        <v>0</v>
      </c>
      <c r="U3" s="10">
        <f t="shared" ref="U3:U5" si="10">SUM(IF(F3="Mixed",1,0)+IF(I3="Mixed",1,0)+IF(L3="Mixed",1,0))</f>
        <v>0</v>
      </c>
      <c r="V3" s="10">
        <f t="shared" ref="V3:V5" si="11">IF(N3="Beat",1,0)</f>
        <v>0</v>
      </c>
      <c r="W3" s="10">
        <f t="shared" ref="W3:W5" si="12">IF(N3="Missed",1,0)</f>
        <v>0</v>
      </c>
      <c r="X3" s="10">
        <f t="shared" ref="X3:X5" si="13">IF(N3="In range",1,0)</f>
        <v>1</v>
      </c>
      <c r="Y3" s="3"/>
      <c r="Z3" s="3"/>
      <c r="AA3" s="3"/>
    </row>
    <row r="4" spans="1:27" x14ac:dyDescent="0.2">
      <c r="A4" s="6" t="s">
        <v>106</v>
      </c>
      <c r="B4" s="10">
        <v>100</v>
      </c>
      <c r="C4" s="10">
        <v>125</v>
      </c>
      <c r="D4" s="10">
        <v>125</v>
      </c>
      <c r="E4" s="10">
        <v>150</v>
      </c>
      <c r="F4" s="6" t="str">
        <f t="shared" si="0"/>
        <v>Raised</v>
      </c>
      <c r="G4" s="10">
        <v>125</v>
      </c>
      <c r="H4" s="10">
        <v>150</v>
      </c>
      <c r="I4" s="6" t="str">
        <f t="shared" si="1"/>
        <v>Unchanged</v>
      </c>
      <c r="J4" s="10">
        <v>125</v>
      </c>
      <c r="K4" s="10">
        <v>150</v>
      </c>
      <c r="L4" s="6" t="str">
        <f t="shared" si="2"/>
        <v>Unchanged</v>
      </c>
      <c r="M4" s="10">
        <v>130</v>
      </c>
      <c r="N4" s="6" t="str">
        <f t="shared" si="3"/>
        <v>Beat</v>
      </c>
      <c r="O4" s="10">
        <f t="shared" si="4"/>
        <v>1</v>
      </c>
      <c r="P4" s="10">
        <f t="shared" si="5"/>
        <v>0</v>
      </c>
      <c r="Q4" s="10">
        <f t="shared" si="6"/>
        <v>0</v>
      </c>
      <c r="R4" s="10">
        <f t="shared" si="7"/>
        <v>2</v>
      </c>
      <c r="S4" s="10">
        <f t="shared" si="8"/>
        <v>0</v>
      </c>
      <c r="T4" s="10">
        <f t="shared" si="9"/>
        <v>0</v>
      </c>
      <c r="U4" s="10">
        <f t="shared" si="10"/>
        <v>0</v>
      </c>
      <c r="V4" s="10">
        <f t="shared" si="11"/>
        <v>1</v>
      </c>
      <c r="W4" s="10">
        <f t="shared" si="12"/>
        <v>0</v>
      </c>
      <c r="X4" s="10">
        <f t="shared" si="13"/>
        <v>0</v>
      </c>
      <c r="Y4" s="3"/>
      <c r="Z4" s="3"/>
      <c r="AA4" s="3"/>
    </row>
    <row r="5" spans="1:27" x14ac:dyDescent="0.2">
      <c r="A5" s="6" t="s">
        <v>110</v>
      </c>
      <c r="B5" s="10">
        <v>13</v>
      </c>
      <c r="C5" s="10">
        <v>16</v>
      </c>
      <c r="D5" s="10">
        <v>15</v>
      </c>
      <c r="E5" s="10">
        <v>17</v>
      </c>
      <c r="F5" s="6" t="str">
        <f t="shared" si="0"/>
        <v>Raised</v>
      </c>
      <c r="G5" s="10">
        <v>15</v>
      </c>
      <c r="H5" s="10">
        <v>17</v>
      </c>
      <c r="I5" s="6" t="str">
        <f t="shared" si="1"/>
        <v>Unchanged</v>
      </c>
      <c r="J5" s="10">
        <v>16</v>
      </c>
      <c r="K5" s="10">
        <v>17</v>
      </c>
      <c r="L5" s="6" t="str">
        <f t="shared" si="2"/>
        <v>Floor up</v>
      </c>
      <c r="M5" s="10">
        <v>17</v>
      </c>
      <c r="N5" s="6" t="str">
        <f t="shared" si="3"/>
        <v>Beat</v>
      </c>
      <c r="O5" s="10">
        <f t="shared" si="4"/>
        <v>1</v>
      </c>
      <c r="P5" s="10">
        <f t="shared" si="5"/>
        <v>1</v>
      </c>
      <c r="Q5" s="10">
        <f t="shared" si="6"/>
        <v>0</v>
      </c>
      <c r="R5" s="10">
        <f t="shared" si="7"/>
        <v>1</v>
      </c>
      <c r="S5" s="10">
        <f t="shared" si="8"/>
        <v>0</v>
      </c>
      <c r="T5" s="10">
        <f t="shared" si="9"/>
        <v>0</v>
      </c>
      <c r="U5" s="10">
        <f t="shared" si="10"/>
        <v>0</v>
      </c>
      <c r="V5" s="10">
        <f t="shared" si="11"/>
        <v>1</v>
      </c>
      <c r="W5" s="10">
        <f t="shared" si="12"/>
        <v>0</v>
      </c>
      <c r="X5" s="10">
        <f t="shared" si="13"/>
        <v>0</v>
      </c>
      <c r="Y5" s="3"/>
      <c r="Z5" s="3"/>
      <c r="AA5" s="3"/>
    </row>
    <row r="6" spans="1:27" x14ac:dyDescent="0.2">
      <c r="A6" s="3" t="s">
        <v>112</v>
      </c>
      <c r="B6" s="5" t="s">
        <v>114</v>
      </c>
      <c r="D6" s="3" t="s">
        <v>114</v>
      </c>
      <c r="E6" s="3"/>
      <c r="F6" s="3"/>
      <c r="G6" s="5" t="s">
        <v>114</v>
      </c>
      <c r="H6" s="3"/>
      <c r="I6" s="3"/>
      <c r="J6" s="3" t="s">
        <v>114</v>
      </c>
      <c r="K6" s="3"/>
      <c r="L6" s="3"/>
      <c r="M6" s="3" t="s">
        <v>115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">
      <c r="A7" s="3" t="s">
        <v>2</v>
      </c>
      <c r="B7" s="29" t="s">
        <v>116</v>
      </c>
      <c r="D7" s="29" t="s">
        <v>118</v>
      </c>
      <c r="E7" s="3"/>
      <c r="F7" s="3"/>
      <c r="G7" s="8" t="s">
        <v>119</v>
      </c>
      <c r="H7" s="3"/>
      <c r="I7" s="3"/>
      <c r="J7" s="29" t="s">
        <v>121</v>
      </c>
      <c r="K7" s="3"/>
      <c r="L7" s="3"/>
      <c r="M7" s="29" t="s">
        <v>122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">
      <c r="A9" s="1" t="s">
        <v>124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">
      <c r="A10" s="6" t="s">
        <v>7</v>
      </c>
      <c r="B10" s="7" t="s">
        <v>10</v>
      </c>
      <c r="C10" s="7" t="s">
        <v>13</v>
      </c>
      <c r="D10" s="7" t="s">
        <v>15</v>
      </c>
      <c r="E10" s="7" t="s">
        <v>17</v>
      </c>
      <c r="F10" s="6" t="s">
        <v>19</v>
      </c>
      <c r="G10" s="7" t="s">
        <v>21</v>
      </c>
      <c r="H10" s="7" t="s">
        <v>23</v>
      </c>
      <c r="I10" s="6" t="s">
        <v>25</v>
      </c>
      <c r="J10" s="7" t="s">
        <v>26</v>
      </c>
      <c r="K10" s="7" t="s">
        <v>27</v>
      </c>
      <c r="L10" s="6" t="s">
        <v>28</v>
      </c>
      <c r="M10" s="7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9" t="s">
        <v>35</v>
      </c>
      <c r="S10" s="6" t="s">
        <v>37</v>
      </c>
      <c r="T10" s="6" t="s">
        <v>39</v>
      </c>
      <c r="U10" s="6" t="s">
        <v>40</v>
      </c>
      <c r="V10" s="6" t="s">
        <v>41</v>
      </c>
      <c r="W10" s="6" t="s">
        <v>42</v>
      </c>
      <c r="X10" s="6" t="s">
        <v>43</v>
      </c>
      <c r="Y10" s="3"/>
      <c r="Z10" s="3"/>
      <c r="AA10" s="3"/>
    </row>
    <row r="11" spans="1:27" x14ac:dyDescent="0.2">
      <c r="A11" s="6" t="s">
        <v>45</v>
      </c>
      <c r="B11" s="10">
        <v>6</v>
      </c>
      <c r="C11" s="10">
        <v>7</v>
      </c>
      <c r="D11" s="10">
        <v>6</v>
      </c>
      <c r="E11" s="10">
        <v>7</v>
      </c>
      <c r="F11" s="6" t="str">
        <f t="shared" ref="F11:F13" si="14">IF(AND(E11&gt;C11,D11&gt;B11),"Raised",IF(AND(E11=C11,D11&gt;B11),"Floor up",IF(AND(E11&lt;C11,D11&gt;B11),"Narrowed",IF(AND(E11=C11,D11=B11),"Unchanged",IF(AND(E11&lt;C11,D11=B11),"Trimmed top",IF(AND(E11&lt;C11,D11&lt;B11),"Cut","Mixed"))))))</f>
        <v>Unchanged</v>
      </c>
      <c r="G11" s="10">
        <v>6</v>
      </c>
      <c r="H11" s="10">
        <v>7</v>
      </c>
      <c r="I11" s="6" t="str">
        <f t="shared" ref="I11:I13" si="15">IF(AND(H11&gt;E11,G11&gt;D11),"Raised",IF(AND(H11=E11,G11&gt;D11),"Floor up",IF(AND(H11&lt;E11,G11&gt;D11),"Narrowed",IF(AND(H11=E11,G11=D11),"Unchanged",IF(AND(H11&lt;E11,G11=D11),"Trimmed top",IF(AND(H11&lt;E11,G11&lt;D11),"Cut","Mixed"))))))</f>
        <v>Unchanged</v>
      </c>
      <c r="J11" s="10">
        <v>6</v>
      </c>
      <c r="K11" s="10">
        <v>7</v>
      </c>
      <c r="L11" s="6" t="str">
        <f t="shared" ref="L11:L13" si="16">IF(AND(K11&gt;H11,J11&gt;G11),"Raised",IF(AND(K11=H11,J11&gt;G11),"Floor up",IF(AND(K11&lt;H11,J11&gt;G11),"Narrowed",IF(AND(K11=H11,J11=G11),"Unchanged",IF(AND(K11&lt;H11,J11=G11),"Trimmed top",IF(AND(K11&lt;H11,J11&lt;G11),"Cut","Mixed"))))))</f>
        <v>Unchanged</v>
      </c>
      <c r="M11" s="10">
        <v>7</v>
      </c>
      <c r="N11" s="6" t="str">
        <f t="shared" ref="N11:N13" si="17">IF(M11&gt;C11,"Beat",IF(M11&lt;B11,"Missed",IF(AND(B11&lt;=M11,M11&lt;=C11),"In range")))</f>
        <v>In range</v>
      </c>
      <c r="O11" s="10">
        <f t="shared" ref="O11:O13" si="18">SUM(IF(F11="Raised",1,0)+IF(I11="Raised",1,0)+IF(L11="Raised",1,0))</f>
        <v>0</v>
      </c>
      <c r="P11" s="10">
        <f t="shared" ref="P11:P13" si="19">SUM(IF(F11="Floor up",1,0)+IF(I11="Floor up",1,0)+IF(L11="Floor up",1,0))</f>
        <v>0</v>
      </c>
      <c r="Q11" s="10">
        <f t="shared" ref="Q11:Q13" si="20">SUM(IF(F11="Narrowed",1,0)+IF(I11="Narrowed",1,0)+IF(L11="Narrowed",1,0))</f>
        <v>0</v>
      </c>
      <c r="R11" s="10">
        <f t="shared" ref="R11:R13" si="21">SUM(IF(F11="Unchanged",1,0)+IF(I11="Unchanged",1,0)+IF(L11="Unchanged",1,0))</f>
        <v>3</v>
      </c>
      <c r="S11" s="10">
        <f t="shared" ref="S11:S13" si="22">SUM(IF(F11="Trimmed top",1,0)+IF(I11="Trimmed top",1,0)+IF(L11="Trimmed top",1,0))</f>
        <v>0</v>
      </c>
      <c r="T11" s="10">
        <f t="shared" ref="T11:T13" si="23">SUM(IF(F11="Cut",1,0)+IF(I11="Cut",1,0)+IF(L11="Cut",1,0))</f>
        <v>0</v>
      </c>
      <c r="U11" s="10">
        <f t="shared" ref="U11:U13" si="24">SUM(IF(F11="Mixed",1,0)+IF(I11="Mixed",1,0)+IF(L11="Mixed",1,0))</f>
        <v>0</v>
      </c>
      <c r="V11" s="10">
        <f t="shared" ref="V11:V13" si="25">IF(N11="Beat",1,0)</f>
        <v>0</v>
      </c>
      <c r="W11" s="10">
        <f t="shared" ref="W11:W13" si="26">IF(N11="Missed",1,0)</f>
        <v>0</v>
      </c>
      <c r="X11" s="10">
        <f t="shared" ref="X11:X13" si="27">IF(N11="In range",1,0)</f>
        <v>1</v>
      </c>
      <c r="Y11" s="3"/>
      <c r="Z11" s="3"/>
      <c r="AA11" s="3"/>
    </row>
    <row r="12" spans="1:27" x14ac:dyDescent="0.2">
      <c r="A12" s="6" t="s">
        <v>106</v>
      </c>
      <c r="B12" s="10">
        <v>60</v>
      </c>
      <c r="C12" s="10">
        <v>80</v>
      </c>
      <c r="D12" s="10">
        <v>60</v>
      </c>
      <c r="E12" s="10">
        <v>80</v>
      </c>
      <c r="F12" s="6" t="str">
        <f t="shared" si="14"/>
        <v>Unchanged</v>
      </c>
      <c r="G12" s="10">
        <v>60</v>
      </c>
      <c r="H12" s="10">
        <v>70</v>
      </c>
      <c r="I12" s="6" t="str">
        <f t="shared" si="15"/>
        <v>Trimmed top</v>
      </c>
      <c r="J12" s="10">
        <v>60</v>
      </c>
      <c r="K12" s="10">
        <v>70</v>
      </c>
      <c r="L12" s="6" t="str">
        <f t="shared" si="16"/>
        <v>Unchanged</v>
      </c>
      <c r="M12" s="10">
        <v>70</v>
      </c>
      <c r="N12" s="6" t="str">
        <f t="shared" si="17"/>
        <v>In range</v>
      </c>
      <c r="O12" s="10">
        <f t="shared" si="18"/>
        <v>0</v>
      </c>
      <c r="P12" s="10">
        <f t="shared" si="19"/>
        <v>0</v>
      </c>
      <c r="Q12" s="10">
        <f t="shared" si="20"/>
        <v>0</v>
      </c>
      <c r="R12" s="10">
        <f t="shared" si="21"/>
        <v>2</v>
      </c>
      <c r="S12" s="10">
        <f t="shared" si="22"/>
        <v>1</v>
      </c>
      <c r="T12" s="10">
        <f t="shared" si="23"/>
        <v>0</v>
      </c>
      <c r="U12" s="10">
        <f t="shared" si="24"/>
        <v>0</v>
      </c>
      <c r="V12" s="10">
        <f t="shared" si="25"/>
        <v>0</v>
      </c>
      <c r="W12" s="10">
        <f t="shared" si="26"/>
        <v>0</v>
      </c>
      <c r="X12" s="10">
        <f t="shared" si="27"/>
        <v>1</v>
      </c>
      <c r="Y12" s="3"/>
      <c r="Z12" s="3"/>
      <c r="AA12" s="3"/>
    </row>
    <row r="13" spans="1:27" x14ac:dyDescent="0.2">
      <c r="A13" s="6" t="s">
        <v>110</v>
      </c>
      <c r="B13" s="10">
        <v>10</v>
      </c>
      <c r="C13" s="10">
        <v>12</v>
      </c>
      <c r="D13" s="10">
        <v>10</v>
      </c>
      <c r="E13" s="10">
        <v>12</v>
      </c>
      <c r="F13" s="6" t="str">
        <f t="shared" si="14"/>
        <v>Unchanged</v>
      </c>
      <c r="G13" s="10">
        <v>10</v>
      </c>
      <c r="H13" s="10">
        <v>12</v>
      </c>
      <c r="I13" s="6" t="str">
        <f t="shared" si="15"/>
        <v>Unchanged</v>
      </c>
      <c r="J13" s="10">
        <v>10</v>
      </c>
      <c r="K13" s="10">
        <v>12</v>
      </c>
      <c r="L13" s="6" t="str">
        <f t="shared" si="16"/>
        <v>Unchanged</v>
      </c>
      <c r="M13" s="10">
        <v>12</v>
      </c>
      <c r="N13" s="6" t="str">
        <f t="shared" si="17"/>
        <v>In range</v>
      </c>
      <c r="O13" s="10">
        <f t="shared" si="18"/>
        <v>0</v>
      </c>
      <c r="P13" s="10">
        <f t="shared" si="19"/>
        <v>0</v>
      </c>
      <c r="Q13" s="10">
        <f t="shared" si="20"/>
        <v>0</v>
      </c>
      <c r="R13" s="10">
        <f t="shared" si="21"/>
        <v>3</v>
      </c>
      <c r="S13" s="10">
        <f t="shared" si="22"/>
        <v>0</v>
      </c>
      <c r="T13" s="10">
        <f t="shared" si="23"/>
        <v>0</v>
      </c>
      <c r="U13" s="10">
        <f t="shared" si="24"/>
        <v>0</v>
      </c>
      <c r="V13" s="10">
        <f t="shared" si="25"/>
        <v>0</v>
      </c>
      <c r="W13" s="10">
        <f t="shared" si="26"/>
        <v>0</v>
      </c>
      <c r="X13" s="10">
        <f t="shared" si="27"/>
        <v>1</v>
      </c>
      <c r="Y13" s="3"/>
      <c r="Z13" s="3"/>
      <c r="AA13" s="3"/>
    </row>
    <row r="14" spans="1:27" x14ac:dyDescent="0.2">
      <c r="A14" s="3" t="s">
        <v>112</v>
      </c>
      <c r="B14" s="3" t="s">
        <v>115</v>
      </c>
      <c r="C14" s="3"/>
      <c r="D14" s="5" t="s">
        <v>114</v>
      </c>
      <c r="E14" s="3"/>
      <c r="F14" s="3"/>
      <c r="G14" s="3" t="s">
        <v>114</v>
      </c>
      <c r="H14" s="3"/>
      <c r="I14" s="3"/>
      <c r="J14" s="3" t="s">
        <v>114</v>
      </c>
      <c r="K14" s="3"/>
      <c r="L14" s="3"/>
      <c r="M14" s="3" t="s">
        <v>138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">
      <c r="A15" s="3" t="s">
        <v>2</v>
      </c>
      <c r="B15" s="29" t="s">
        <v>122</v>
      </c>
      <c r="C15" s="3"/>
      <c r="D15" s="8" t="s">
        <v>139</v>
      </c>
      <c r="E15" s="3"/>
      <c r="F15" s="3"/>
      <c r="G15" s="29" t="s">
        <v>142</v>
      </c>
      <c r="H15" s="3"/>
      <c r="I15" s="3"/>
      <c r="J15" s="29" t="s">
        <v>147</v>
      </c>
      <c r="K15" s="3"/>
      <c r="L15" s="3"/>
      <c r="M15" s="29" t="s">
        <v>151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">
      <c r="A17" s="1" t="s">
        <v>155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">
      <c r="A18" s="6" t="s">
        <v>7</v>
      </c>
      <c r="B18" s="7" t="s">
        <v>10</v>
      </c>
      <c r="C18" s="7" t="s">
        <v>13</v>
      </c>
      <c r="D18" s="7" t="s">
        <v>15</v>
      </c>
      <c r="E18" s="7" t="s">
        <v>17</v>
      </c>
      <c r="F18" s="6" t="s">
        <v>19</v>
      </c>
      <c r="G18" s="7" t="s">
        <v>21</v>
      </c>
      <c r="H18" s="7" t="s">
        <v>23</v>
      </c>
      <c r="I18" s="6" t="s">
        <v>25</v>
      </c>
      <c r="J18" s="7" t="s">
        <v>26</v>
      </c>
      <c r="K18" s="7" t="s">
        <v>27</v>
      </c>
      <c r="L18" s="6" t="s">
        <v>28</v>
      </c>
      <c r="M18" s="7" t="s">
        <v>29</v>
      </c>
      <c r="N18" s="6" t="s">
        <v>30</v>
      </c>
      <c r="O18" s="6" t="s">
        <v>31</v>
      </c>
      <c r="P18" s="6" t="s">
        <v>32</v>
      </c>
      <c r="Q18" s="6" t="s">
        <v>33</v>
      </c>
      <c r="R18" s="9" t="s">
        <v>35</v>
      </c>
      <c r="S18" s="6" t="s">
        <v>37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3"/>
      <c r="Z18" s="3"/>
      <c r="AA18" s="3"/>
    </row>
    <row r="19" spans="1:27" x14ac:dyDescent="0.2">
      <c r="A19" s="6" t="s">
        <v>45</v>
      </c>
      <c r="B19" s="10">
        <v>5</v>
      </c>
      <c r="C19" s="10">
        <v>6</v>
      </c>
      <c r="D19" s="10">
        <v>6</v>
      </c>
      <c r="E19" s="10">
        <v>7</v>
      </c>
      <c r="F19" s="6" t="str">
        <f t="shared" ref="F19:F21" si="28">IF(AND(E19&gt;C19,D19&gt;B19),"Raised",IF(AND(E19=C19,D19&gt;B19),"Floor up",IF(AND(E19&lt;C19,D19&gt;B19),"Narrowed",IF(AND(E19=C19,D19=B19),"Unchanged",IF(AND(E19&lt;C19,D19=B19),"Trimmed top",IF(AND(E19&lt;C19,D19&lt;B19),"Cut","Mixed"))))))</f>
        <v>Raised</v>
      </c>
      <c r="G19" s="10">
        <v>6</v>
      </c>
      <c r="H19" s="10">
        <v>7</v>
      </c>
      <c r="I19" s="6" t="str">
        <f t="shared" ref="I19:I21" si="29">IF(AND(H19&gt;E19,G19&gt;D19),"Raised",IF(AND(H19=E19,G19&gt;D19),"Floor up",IF(AND(H19&lt;E19,G19&gt;D19),"Narrowed",IF(AND(H19=E19,G19=D19),"Unchanged",IF(AND(H19&lt;E19,G19=D19),"Trimmed top",IF(AND(H19&lt;E19,G19&lt;D19),"Cut","Mixed"))))))</f>
        <v>Unchanged</v>
      </c>
      <c r="J19" s="10">
        <v>6</v>
      </c>
      <c r="K19" s="10">
        <v>7</v>
      </c>
      <c r="L19" s="6" t="str">
        <f t="shared" ref="L19:L21" si="30">IF(AND(K19&gt;H19,J19&gt;G19),"Raised",IF(AND(K19=H19,J19&gt;G19),"Floor up",IF(AND(K19&lt;H19,J19&gt;G19),"Narrowed",IF(AND(K19=H19,J19=G19),"Unchanged",IF(AND(K19&lt;H19,J19=G19),"Trimmed top",IF(AND(K19&lt;H19,J19&lt;G19),"Cut","Mixed"))))))</f>
        <v>Unchanged</v>
      </c>
      <c r="M19" s="10">
        <v>7</v>
      </c>
      <c r="N19" s="6" t="str">
        <f t="shared" ref="N19:N21" si="31">IF(M19&gt;C19,"Beat",IF(M19&lt;B19,"Missed",IF(AND(B19&lt;=M19,M19&lt;=C19),"In range")))</f>
        <v>Beat</v>
      </c>
      <c r="O19" s="10">
        <f t="shared" ref="O19:O21" si="32">SUM(IF(F19="Raised",1,0)+IF(I19="Raised",1,0)+IF(L19="Raised",1,0))</f>
        <v>1</v>
      </c>
      <c r="P19" s="10">
        <f t="shared" ref="P19:P21" si="33">SUM(IF(F19="Floor up",1,0)+IF(I19="Floor up",1,0)+IF(L19="Floor up",1,0))</f>
        <v>0</v>
      </c>
      <c r="Q19" s="10">
        <f t="shared" ref="Q19:Q21" si="34">SUM(IF(F19="Narrowed",1,0)+IF(I19="Narrowed",1,0)+IF(L19="Narrowed",1,0))</f>
        <v>0</v>
      </c>
      <c r="R19" s="10">
        <f t="shared" ref="R19:R21" si="35">SUM(IF(F19="Unchanged",1,0)+IF(I19="Unchanged",1,0)+IF(L19="Unchanged",1,0))</f>
        <v>2</v>
      </c>
      <c r="S19" s="10">
        <f t="shared" ref="S19:S21" si="36">SUM(IF(F19="Trimmed top",1,0)+IF(I19="Trimmed top",1,0)+IF(L19="Trimmed top",1,0))</f>
        <v>0</v>
      </c>
      <c r="T19" s="10">
        <f t="shared" ref="T19:T21" si="37">SUM(IF(F19="Cut",1,0)+IF(I19="Cut",1,0)+IF(L19="Cut",1,0))</f>
        <v>0</v>
      </c>
      <c r="U19" s="10">
        <f t="shared" ref="U19:U21" si="38">SUM(IF(F19="Mixed",1,0)+IF(I19="Mixed",1,0)+IF(L19="Mixed",1,0))</f>
        <v>0</v>
      </c>
      <c r="V19" s="10">
        <f t="shared" ref="V19:V21" si="39">IF(N19="Beat",1,0)</f>
        <v>1</v>
      </c>
      <c r="W19" s="10">
        <f t="shared" ref="W19:W21" si="40">IF(N19="Missed",1,0)</f>
        <v>0</v>
      </c>
      <c r="X19" s="10">
        <f t="shared" ref="X19:X21" si="41">IF(N19="In range",1,0)</f>
        <v>0</v>
      </c>
      <c r="Y19" s="3"/>
      <c r="Z19" s="3"/>
      <c r="AA19" s="3"/>
    </row>
    <row r="20" spans="1:27" x14ac:dyDescent="0.2">
      <c r="A20" s="6" t="s">
        <v>106</v>
      </c>
      <c r="B20" s="10">
        <v>60</v>
      </c>
      <c r="C20" s="10">
        <v>80</v>
      </c>
      <c r="D20" s="10">
        <v>30</v>
      </c>
      <c r="E20" s="10">
        <v>50</v>
      </c>
      <c r="F20" s="6" t="str">
        <f t="shared" si="28"/>
        <v>Cut</v>
      </c>
      <c r="G20" s="10">
        <v>30</v>
      </c>
      <c r="H20" s="10">
        <v>50</v>
      </c>
      <c r="I20" s="6" t="str">
        <f t="shared" si="29"/>
        <v>Unchanged</v>
      </c>
      <c r="J20" s="10">
        <v>40</v>
      </c>
      <c r="K20" s="10">
        <v>50</v>
      </c>
      <c r="L20" s="6" t="str">
        <f t="shared" si="30"/>
        <v>Floor up</v>
      </c>
      <c r="M20" s="10">
        <v>50</v>
      </c>
      <c r="N20" s="6" t="str">
        <f t="shared" si="31"/>
        <v>Missed</v>
      </c>
      <c r="O20" s="10">
        <f t="shared" si="32"/>
        <v>0</v>
      </c>
      <c r="P20" s="10">
        <f t="shared" si="33"/>
        <v>1</v>
      </c>
      <c r="Q20" s="10">
        <f t="shared" si="34"/>
        <v>0</v>
      </c>
      <c r="R20" s="10">
        <f t="shared" si="35"/>
        <v>1</v>
      </c>
      <c r="S20" s="10">
        <f t="shared" si="36"/>
        <v>0</v>
      </c>
      <c r="T20" s="10">
        <f t="shared" si="37"/>
        <v>1</v>
      </c>
      <c r="U20" s="10">
        <f t="shared" si="38"/>
        <v>0</v>
      </c>
      <c r="V20" s="10">
        <f t="shared" si="39"/>
        <v>0</v>
      </c>
      <c r="W20" s="10">
        <f t="shared" si="40"/>
        <v>1</v>
      </c>
      <c r="X20" s="10">
        <f t="shared" si="41"/>
        <v>0</v>
      </c>
      <c r="Y20" s="3"/>
      <c r="Z20" s="3"/>
      <c r="AA20" s="3"/>
    </row>
    <row r="21" spans="1:27" x14ac:dyDescent="0.2">
      <c r="A21" s="6" t="s">
        <v>110</v>
      </c>
      <c r="B21" s="10">
        <v>8</v>
      </c>
      <c r="C21" s="10">
        <v>10</v>
      </c>
      <c r="D21" s="10">
        <v>7</v>
      </c>
      <c r="E21" s="10">
        <v>9</v>
      </c>
      <c r="F21" s="6" t="str">
        <f t="shared" si="28"/>
        <v>Cut</v>
      </c>
      <c r="G21" s="10">
        <v>7</v>
      </c>
      <c r="H21" s="10">
        <v>9</v>
      </c>
      <c r="I21" s="6" t="str">
        <f t="shared" si="29"/>
        <v>Unchanged</v>
      </c>
      <c r="J21" s="10">
        <v>8</v>
      </c>
      <c r="K21" s="10">
        <v>9</v>
      </c>
      <c r="L21" s="6" t="str">
        <f t="shared" si="30"/>
        <v>Floor up</v>
      </c>
      <c r="M21" s="10">
        <v>9</v>
      </c>
      <c r="N21" s="6" t="str">
        <f t="shared" si="31"/>
        <v>In range</v>
      </c>
      <c r="O21" s="10">
        <f t="shared" si="32"/>
        <v>0</v>
      </c>
      <c r="P21" s="10">
        <f t="shared" si="33"/>
        <v>1</v>
      </c>
      <c r="Q21" s="10">
        <f t="shared" si="34"/>
        <v>0</v>
      </c>
      <c r="R21" s="10">
        <f t="shared" si="35"/>
        <v>1</v>
      </c>
      <c r="S21" s="10">
        <f t="shared" si="36"/>
        <v>0</v>
      </c>
      <c r="T21" s="10">
        <f t="shared" si="37"/>
        <v>1</v>
      </c>
      <c r="U21" s="10">
        <f t="shared" si="38"/>
        <v>0</v>
      </c>
      <c r="V21" s="10">
        <f t="shared" si="39"/>
        <v>0</v>
      </c>
      <c r="W21" s="10">
        <f t="shared" si="40"/>
        <v>0</v>
      </c>
      <c r="X21" s="10">
        <f t="shared" si="41"/>
        <v>1</v>
      </c>
      <c r="Y21" s="3"/>
      <c r="Z21" s="3"/>
      <c r="AA21" s="3"/>
    </row>
    <row r="22" spans="1:27" x14ac:dyDescent="0.2">
      <c r="A22" s="3" t="s">
        <v>112</v>
      </c>
      <c r="B22" s="3" t="s">
        <v>115</v>
      </c>
      <c r="C22" s="3"/>
      <c r="D22" s="3" t="s">
        <v>114</v>
      </c>
      <c r="E22" s="3"/>
      <c r="F22" s="3"/>
      <c r="G22" s="3" t="s">
        <v>114</v>
      </c>
      <c r="H22" s="3"/>
      <c r="I22" s="3"/>
      <c r="J22" s="3" t="s">
        <v>114</v>
      </c>
      <c r="K22" s="3"/>
      <c r="L22" s="3"/>
      <c r="M22" s="3" t="s">
        <v>115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">
      <c r="A23" s="3" t="s">
        <v>2</v>
      </c>
      <c r="B23" s="29" t="s">
        <v>151</v>
      </c>
      <c r="C23" s="3"/>
      <c r="D23" s="29" t="s">
        <v>171</v>
      </c>
      <c r="E23" s="3"/>
      <c r="F23" s="3"/>
      <c r="G23" s="29" t="s">
        <v>172</v>
      </c>
      <c r="H23" s="3"/>
      <c r="I23" s="3"/>
      <c r="J23" s="29" t="s">
        <v>173</v>
      </c>
      <c r="K23" s="3"/>
      <c r="L23" s="3"/>
      <c r="M23" s="29" t="s">
        <v>174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">
      <c r="A25" s="39" t="s">
        <v>175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"/>
      <c r="Z25" s="3"/>
      <c r="AA25" s="3"/>
    </row>
    <row r="26" spans="1:27" x14ac:dyDescent="0.2">
      <c r="A26" s="41" t="s">
        <v>7</v>
      </c>
      <c r="B26" s="42" t="s">
        <v>10</v>
      </c>
      <c r="C26" s="42" t="s">
        <v>13</v>
      </c>
      <c r="D26" s="42" t="s">
        <v>15</v>
      </c>
      <c r="E26" s="42" t="s">
        <v>17</v>
      </c>
      <c r="F26" s="41" t="s">
        <v>19</v>
      </c>
      <c r="G26" s="42" t="s">
        <v>21</v>
      </c>
      <c r="H26" s="42" t="s">
        <v>23</v>
      </c>
      <c r="I26" s="41" t="s">
        <v>25</v>
      </c>
      <c r="J26" s="42" t="s">
        <v>26</v>
      </c>
      <c r="K26" s="42" t="s">
        <v>27</v>
      </c>
      <c r="L26" s="41" t="s">
        <v>28</v>
      </c>
      <c r="M26" s="42" t="s">
        <v>29</v>
      </c>
      <c r="N26" s="41" t="s">
        <v>30</v>
      </c>
      <c r="O26" s="41" t="s">
        <v>31</v>
      </c>
      <c r="P26" s="41" t="s">
        <v>32</v>
      </c>
      <c r="Q26" s="41" t="s">
        <v>33</v>
      </c>
      <c r="R26" s="41" t="s">
        <v>35</v>
      </c>
      <c r="S26" s="41" t="s">
        <v>37</v>
      </c>
      <c r="T26" s="41" t="s">
        <v>39</v>
      </c>
      <c r="U26" s="41" t="s">
        <v>40</v>
      </c>
      <c r="V26" s="41" t="s">
        <v>41</v>
      </c>
      <c r="W26" s="41" t="s">
        <v>42</v>
      </c>
      <c r="X26" s="41" t="s">
        <v>43</v>
      </c>
      <c r="Y26" s="3"/>
      <c r="Z26" s="3"/>
      <c r="AA26" s="3"/>
    </row>
    <row r="27" spans="1:27" x14ac:dyDescent="0.2">
      <c r="A27" s="41" t="s">
        <v>45</v>
      </c>
      <c r="B27" s="43">
        <v>5</v>
      </c>
      <c r="C27" s="43">
        <v>6</v>
      </c>
      <c r="D27" s="43">
        <v>5</v>
      </c>
      <c r="E27" s="43">
        <v>6</v>
      </c>
      <c r="F27" s="41" t="str">
        <f t="shared" ref="F27:F29" si="42">IF(AND(E27&gt;C27,D27&gt;B27),"Raised",IF(AND(E27=C27,D27&gt;B27),"Floor up",IF(AND(E27&lt;C27,D27&gt;B27),"Narrowed",IF(AND(E27=C27,D27=B27),"Unchanged",IF(AND(E27&lt;C27,D27=B27),"Trimmed top",IF(AND(E27&lt;C27,D27&lt;B27),"Cut","Mixed"))))))</f>
        <v>Unchanged</v>
      </c>
      <c r="G27" s="43">
        <v>6</v>
      </c>
      <c r="H27" s="43">
        <v>6</v>
      </c>
      <c r="I27" s="6" t="str">
        <f t="shared" ref="I27:I29" si="43">IF(AND(H27&gt;E27,G27&gt;D27),"Raised",IF(AND(H27=E27,G27&gt;D27),"Floor up",IF(AND(H27&lt;E27,G27&gt;D27),"Narrowed",IF(AND(H27=E27,G27=D27),"Unchanged",IF(AND(H27&lt;E27,G27=D27),"Trimmed top",IF(AND(H27&lt;E27,G27&lt;D27),"Cut","Mixed"))))))</f>
        <v>Floor up</v>
      </c>
      <c r="J27" s="43">
        <v>6</v>
      </c>
      <c r="K27" s="43">
        <v>7</v>
      </c>
      <c r="L27" s="6" t="str">
        <f t="shared" ref="L27:L29" si="44">IF(AND(K27&gt;H27,J27&gt;G27),"Raised",IF(AND(K27=H27,J27&gt;G27),"Floor up",IF(AND(K27&lt;H27,J27&gt;G27),"Narrowed",IF(AND(K27=H27,J27=G27),"Unchanged",IF(AND(K27&lt;H27,J27=G27),"Trimmed top",IF(AND(K27&lt;H27,J27&lt;G27),"Cut","Mixed"))))))</f>
        <v>Mixed</v>
      </c>
      <c r="M27" s="43">
        <v>6</v>
      </c>
      <c r="N27" s="6" t="str">
        <f t="shared" ref="N27:N29" si="45">IF(M27&gt;C27,"Beat",IF(M27&lt;B27,"Missed",IF(AND(B27&lt;=M27,M27&lt;=C27),"In range")))</f>
        <v>In range</v>
      </c>
      <c r="O27" s="43">
        <f t="shared" ref="O27:O29" si="46">SUM(IF(F27="Raised",1,0)+IF(I27="Raised",1,0)+IF(L27="Raised",1,0))</f>
        <v>0</v>
      </c>
      <c r="P27" s="43">
        <f t="shared" ref="P27:P29" si="47">SUM(IF(F27="Floor up",1,0)+IF(I27="Floor up",1,0)+IF(L27="Floor up",1,0))</f>
        <v>1</v>
      </c>
      <c r="Q27" s="43">
        <f t="shared" ref="Q27:Q29" si="48">SUM(IF(F27="Narrowed",1,0)+IF(I27="Narrowed",1,0)+IF(L27="Narrowed",1,0))</f>
        <v>0</v>
      </c>
      <c r="R27" s="43">
        <f t="shared" ref="R27:R29" si="49">SUM(IF(F27="Unchanged",1,0)+IF(I27="Unchanged",1,0)+IF(L27="Unchanged",1,0))</f>
        <v>1</v>
      </c>
      <c r="S27" s="43">
        <f t="shared" ref="S27:S29" si="50">SUM(IF(F27="Trimmed top",1,0)+IF(I27="Trimmed top",1,0)+IF(L27="Trimmed top",1,0))</f>
        <v>0</v>
      </c>
      <c r="T27" s="43">
        <f t="shared" ref="T27:T29" si="51">SUM(IF(F27="Cut",1,0)+IF(I27="Cut",1,0)+IF(L27="Cut",1,0))</f>
        <v>0</v>
      </c>
      <c r="U27" s="43">
        <f t="shared" ref="U27:U29" si="52">SUM(IF(F27="Mixed",1,0)+IF(I27="Mixed",1,0)+IF(L27="Mixed",1,0))</f>
        <v>1</v>
      </c>
      <c r="V27" s="43">
        <f t="shared" ref="V27:V29" si="53">IF(N27="Beat",1,0)</f>
        <v>0</v>
      </c>
      <c r="W27" s="43">
        <f t="shared" ref="W27:W29" si="54">IF(N27="Missed",1,0)</f>
        <v>0</v>
      </c>
      <c r="X27" s="43">
        <f t="shared" ref="X27:X29" si="55">IF(N27="In range",1,0)</f>
        <v>1</v>
      </c>
      <c r="Y27" s="3"/>
      <c r="Z27" s="3"/>
      <c r="AA27" s="3"/>
    </row>
    <row r="28" spans="1:27" x14ac:dyDescent="0.2">
      <c r="A28" s="41" t="s">
        <v>106</v>
      </c>
      <c r="B28" s="43">
        <v>50</v>
      </c>
      <c r="C28" s="43">
        <v>70</v>
      </c>
      <c r="D28" s="43">
        <v>50</v>
      </c>
      <c r="E28" s="43">
        <v>70</v>
      </c>
      <c r="F28" s="41" t="str">
        <f t="shared" si="42"/>
        <v>Unchanged</v>
      </c>
      <c r="G28" s="43">
        <v>50</v>
      </c>
      <c r="H28" s="43">
        <v>70</v>
      </c>
      <c r="I28" s="6" t="str">
        <f t="shared" si="43"/>
        <v>Unchanged</v>
      </c>
      <c r="J28" s="43">
        <v>70</v>
      </c>
      <c r="K28" s="43">
        <v>80</v>
      </c>
      <c r="L28" s="6" t="str">
        <f t="shared" si="44"/>
        <v>Raised</v>
      </c>
      <c r="M28" s="43">
        <v>80</v>
      </c>
      <c r="N28" s="6" t="str">
        <f t="shared" si="45"/>
        <v>Beat</v>
      </c>
      <c r="O28" s="43">
        <f t="shared" si="46"/>
        <v>1</v>
      </c>
      <c r="P28" s="43">
        <f t="shared" si="47"/>
        <v>0</v>
      </c>
      <c r="Q28" s="43">
        <f t="shared" si="48"/>
        <v>0</v>
      </c>
      <c r="R28" s="43">
        <f t="shared" si="49"/>
        <v>2</v>
      </c>
      <c r="S28" s="43">
        <f t="shared" si="50"/>
        <v>0</v>
      </c>
      <c r="T28" s="43">
        <f t="shared" si="51"/>
        <v>0</v>
      </c>
      <c r="U28" s="43">
        <f t="shared" si="52"/>
        <v>0</v>
      </c>
      <c r="V28" s="43">
        <f t="shared" si="53"/>
        <v>1</v>
      </c>
      <c r="W28" s="43">
        <f t="shared" si="54"/>
        <v>0</v>
      </c>
      <c r="X28" s="43">
        <f t="shared" si="55"/>
        <v>0</v>
      </c>
      <c r="Y28" s="3"/>
      <c r="Z28" s="3"/>
      <c r="AA28" s="3"/>
    </row>
    <row r="29" spans="1:27" x14ac:dyDescent="0.2">
      <c r="A29" s="41" t="s">
        <v>110</v>
      </c>
      <c r="B29" s="43">
        <v>8</v>
      </c>
      <c r="C29" s="43">
        <v>10</v>
      </c>
      <c r="D29" s="43">
        <v>8</v>
      </c>
      <c r="E29" s="43">
        <v>10</v>
      </c>
      <c r="F29" s="41" t="str">
        <f t="shared" si="42"/>
        <v>Unchanged</v>
      </c>
      <c r="G29" s="43">
        <v>9</v>
      </c>
      <c r="H29" s="43">
        <v>10</v>
      </c>
      <c r="I29" s="6" t="str">
        <f t="shared" si="43"/>
        <v>Floor up</v>
      </c>
      <c r="J29" s="43">
        <v>10</v>
      </c>
      <c r="K29" s="43">
        <v>11</v>
      </c>
      <c r="L29" s="6" t="str">
        <f t="shared" si="44"/>
        <v>Raised</v>
      </c>
      <c r="M29" s="43">
        <v>11</v>
      </c>
      <c r="N29" s="6" t="str">
        <f t="shared" si="45"/>
        <v>Beat</v>
      </c>
      <c r="O29" s="43">
        <f t="shared" si="46"/>
        <v>1</v>
      </c>
      <c r="P29" s="43">
        <f t="shared" si="47"/>
        <v>1</v>
      </c>
      <c r="Q29" s="43">
        <f t="shared" si="48"/>
        <v>0</v>
      </c>
      <c r="R29" s="43">
        <f t="shared" si="49"/>
        <v>1</v>
      </c>
      <c r="S29" s="43">
        <f t="shared" si="50"/>
        <v>0</v>
      </c>
      <c r="T29" s="43">
        <f t="shared" si="51"/>
        <v>0</v>
      </c>
      <c r="U29" s="43">
        <f t="shared" si="52"/>
        <v>0</v>
      </c>
      <c r="V29" s="43">
        <f t="shared" si="53"/>
        <v>1</v>
      </c>
      <c r="W29" s="43">
        <f t="shared" si="54"/>
        <v>0</v>
      </c>
      <c r="X29" s="43">
        <f t="shared" si="55"/>
        <v>0</v>
      </c>
      <c r="Y29" s="3"/>
      <c r="Z29" s="3"/>
      <c r="AA29" s="3"/>
    </row>
    <row r="30" spans="1:27" x14ac:dyDescent="0.2">
      <c r="A30" s="3" t="s">
        <v>112</v>
      </c>
      <c r="B30" s="3" t="s">
        <v>115</v>
      </c>
      <c r="C30" s="3"/>
      <c r="D30" s="3" t="s">
        <v>114</v>
      </c>
      <c r="E30" s="3"/>
      <c r="F30" s="3"/>
      <c r="G30" s="3" t="s">
        <v>114</v>
      </c>
      <c r="H30" s="3"/>
      <c r="I30" s="3"/>
      <c r="J30" s="3" t="s">
        <v>114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x14ac:dyDescent="0.2">
      <c r="A31" s="3" t="s">
        <v>2</v>
      </c>
      <c r="B31" s="29" t="s">
        <v>174</v>
      </c>
      <c r="C31" s="3"/>
      <c r="D31" s="29" t="s">
        <v>176</v>
      </c>
      <c r="E31" s="3"/>
      <c r="F31" s="3"/>
      <c r="G31" s="29" t="s">
        <v>177</v>
      </c>
      <c r="H31" s="3"/>
      <c r="I31" s="3"/>
      <c r="J31" s="29" t="s">
        <v>178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">
      <c r="A33" s="44" t="s">
        <v>179</v>
      </c>
      <c r="B33" s="44" t="s">
        <v>31</v>
      </c>
      <c r="C33" s="44" t="s">
        <v>32</v>
      </c>
      <c r="D33" s="44" t="s">
        <v>33</v>
      </c>
      <c r="E33" s="45" t="s">
        <v>35</v>
      </c>
      <c r="F33" s="44" t="s">
        <v>37</v>
      </c>
      <c r="G33" s="44" t="s">
        <v>39</v>
      </c>
      <c r="H33" s="44" t="s">
        <v>40</v>
      </c>
      <c r="I33" s="3"/>
      <c r="J33" s="3"/>
      <c r="K33" s="3"/>
      <c r="L33" s="3"/>
      <c r="M33" s="3"/>
      <c r="N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">
      <c r="A34" s="9" t="s">
        <v>180</v>
      </c>
      <c r="B34" s="10">
        <f t="shared" ref="B34:H34" si="56">SUMIF(O:O,"&gt;0",O:O)</f>
        <v>5</v>
      </c>
      <c r="C34" s="10">
        <f t="shared" si="56"/>
        <v>6</v>
      </c>
      <c r="D34" s="10">
        <f t="shared" si="56"/>
        <v>0</v>
      </c>
      <c r="E34" s="10">
        <f t="shared" si="56"/>
        <v>21</v>
      </c>
      <c r="F34" s="10">
        <f t="shared" si="56"/>
        <v>1</v>
      </c>
      <c r="G34" s="10">
        <f t="shared" si="56"/>
        <v>2</v>
      </c>
      <c r="H34" s="10">
        <f t="shared" si="56"/>
        <v>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">
      <c r="A35" s="9" t="s">
        <v>80</v>
      </c>
      <c r="B35" s="46">
        <f t="shared" ref="B35:H35" si="57">B34/SUM($B$34:$H$34)</f>
        <v>0.1388888888888889</v>
      </c>
      <c r="C35" s="46">
        <f t="shared" si="57"/>
        <v>0.16666666666666666</v>
      </c>
      <c r="D35" s="46">
        <f t="shared" si="57"/>
        <v>0</v>
      </c>
      <c r="E35" s="46">
        <f t="shared" si="57"/>
        <v>0.58333333333333337</v>
      </c>
      <c r="F35" s="46">
        <f t="shared" si="57"/>
        <v>2.7777777777777776E-2</v>
      </c>
      <c r="G35" s="46">
        <f t="shared" si="57"/>
        <v>5.5555555555555552E-2</v>
      </c>
      <c r="H35" s="46">
        <f t="shared" si="57"/>
        <v>2.7777777777777776E-2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">
      <c r="A37" s="45" t="s">
        <v>181</v>
      </c>
      <c r="B37" s="44" t="s">
        <v>41</v>
      </c>
      <c r="C37" s="44" t="s">
        <v>42</v>
      </c>
      <c r="D37" s="44" t="s">
        <v>43</v>
      </c>
      <c r="F37" s="3"/>
      <c r="G37" s="3"/>
      <c r="H37" s="4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">
      <c r="A38" s="9" t="s">
        <v>180</v>
      </c>
      <c r="B38" s="10">
        <f>SUMIF(V:V,"&gt;0")</f>
        <v>5</v>
      </c>
      <c r="C38" s="10">
        <v>0</v>
      </c>
      <c r="D38" s="10">
        <f>SUMIF(X:X,"&gt;0")</f>
        <v>6</v>
      </c>
      <c r="E38" s="3"/>
      <c r="F38" s="3"/>
      <c r="G38" s="3"/>
      <c r="H38" s="4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">
      <c r="A39" s="9" t="s">
        <v>80</v>
      </c>
      <c r="B39" s="46">
        <f t="shared" ref="B39:D39" si="58">B38/SUM($B$38:$D$38)</f>
        <v>0.45454545454545453</v>
      </c>
      <c r="C39" s="46">
        <f t="shared" si="58"/>
        <v>0</v>
      </c>
      <c r="D39" s="46">
        <f t="shared" si="58"/>
        <v>0.54545454545454541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">
      <c r="A40" s="3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2"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2"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</sheetData>
  <conditionalFormatting sqref="F3:F5 I3:I5 L3:L5 F11:F13 I11:I13 L11:L13 F19:F21 I19:I21 L19:L21 I27:I29 L27:L29 N27:N29">
    <cfRule type="cellIs" dxfId="10" priority="1" operator="equal">
      <formula>"Raised"</formula>
    </cfRule>
    <cfRule type="cellIs" dxfId="9" priority="2" operator="equal">
      <formula>"Floor up"</formula>
    </cfRule>
    <cfRule type="cellIs" dxfId="8" priority="3" operator="equal">
      <formula>"Narrowed"</formula>
    </cfRule>
    <cfRule type="cellIs" dxfId="7" priority="4" operator="equal">
      <formula>"Unchanged"</formula>
    </cfRule>
    <cfRule type="cellIs" dxfId="6" priority="5" operator="equal">
      <formula>"Trimmed top"</formula>
    </cfRule>
    <cfRule type="cellIs" dxfId="5" priority="6" operator="equal">
      <formula>"Cut"</formula>
    </cfRule>
    <cfRule type="cellIs" dxfId="4" priority="7" operator="equal">
      <formula>"Mixed"</formula>
    </cfRule>
  </conditionalFormatting>
  <conditionalFormatting sqref="N3:N5 N11:N13 N19:N21 N27:N29">
    <cfRule type="cellIs" dxfId="3" priority="8" operator="equal">
      <formula>"Beat"</formula>
    </cfRule>
    <cfRule type="cellIs" dxfId="2" priority="9" operator="equal">
      <formula>"In range"</formula>
    </cfRule>
    <cfRule type="cellIs" dxfId="1" priority="10" operator="equal">
      <formula>"Missed"</formula>
    </cfRule>
  </conditionalFormatting>
  <conditionalFormatting sqref="N28 I28 L28">
    <cfRule type="notContainsBlanks" dxfId="0" priority="11">
      <formula>LEN(TRIM(I28))&gt;0</formula>
    </cfRule>
  </conditionalFormatting>
  <hyperlinks>
    <hyperlink ref="B7" r:id="rId1" xr:uid="{00000000-0004-0000-0200-000000000000}"/>
    <hyperlink ref="D7" r:id="rId2" xr:uid="{00000000-0004-0000-0200-000001000000}"/>
    <hyperlink ref="G7" r:id="rId3" xr:uid="{00000000-0004-0000-0200-000002000000}"/>
    <hyperlink ref="J7" r:id="rId4" xr:uid="{00000000-0004-0000-0200-000003000000}"/>
    <hyperlink ref="M7" r:id="rId5" xr:uid="{00000000-0004-0000-0200-000004000000}"/>
    <hyperlink ref="B15" r:id="rId6" xr:uid="{00000000-0004-0000-0200-000005000000}"/>
    <hyperlink ref="D15" r:id="rId7" xr:uid="{00000000-0004-0000-0200-000006000000}"/>
    <hyperlink ref="G15" r:id="rId8" xr:uid="{00000000-0004-0000-0200-000007000000}"/>
    <hyperlink ref="J15" r:id="rId9" xr:uid="{00000000-0004-0000-0200-000008000000}"/>
    <hyperlink ref="M15" r:id="rId10" xr:uid="{00000000-0004-0000-0200-000009000000}"/>
    <hyperlink ref="B23" r:id="rId11" xr:uid="{00000000-0004-0000-0200-00000A000000}"/>
    <hyperlink ref="D23" r:id="rId12" xr:uid="{00000000-0004-0000-0200-00000B000000}"/>
    <hyperlink ref="G23" r:id="rId13" xr:uid="{00000000-0004-0000-0200-00000C000000}"/>
    <hyperlink ref="J23" r:id="rId14" xr:uid="{00000000-0004-0000-0200-00000D000000}"/>
    <hyperlink ref="M23" r:id="rId15" xr:uid="{00000000-0004-0000-0200-00000E000000}"/>
    <hyperlink ref="B31" r:id="rId16" xr:uid="{00000000-0004-0000-0200-00000F000000}"/>
    <hyperlink ref="D31" r:id="rId17" xr:uid="{00000000-0004-0000-0200-000010000000}"/>
    <hyperlink ref="G31" r:id="rId18" xr:uid="{00000000-0004-0000-0200-000011000000}"/>
    <hyperlink ref="J31" r:id="rId19" xr:uid="{00000000-0004-0000-0200-00001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05"/>
  <sheetViews>
    <sheetView workbookViewId="0">
      <selection activeCell="A20" sqref="A20"/>
    </sheetView>
  </sheetViews>
  <sheetFormatPr baseColWidth="10" defaultColWidth="14.3984375" defaultRowHeight="15.75" customHeight="1" x14ac:dyDescent="0.2"/>
  <cols>
    <col min="1" max="1" width="44" customWidth="1"/>
    <col min="2" max="4" width="14" customWidth="1"/>
    <col min="5" max="5" width="62" customWidth="1"/>
    <col min="6" max="26" width="8.796875" customWidth="1"/>
  </cols>
  <sheetData>
    <row r="1" spans="1:5" x14ac:dyDescent="0.2">
      <c r="B1" s="2" t="s">
        <v>1</v>
      </c>
      <c r="C1" s="2" t="s">
        <v>2</v>
      </c>
      <c r="D1" s="2" t="s">
        <v>3</v>
      </c>
      <c r="E1" s="4"/>
    </row>
    <row r="2" spans="1:5" x14ac:dyDescent="0.2">
      <c r="A2" s="2" t="s">
        <v>4</v>
      </c>
      <c r="B2" s="5">
        <v>0.81</v>
      </c>
      <c r="C2" s="8" t="s">
        <v>5</v>
      </c>
      <c r="D2" s="5" t="s">
        <v>36</v>
      </c>
      <c r="E2" s="4"/>
    </row>
    <row r="3" spans="1:5" x14ac:dyDescent="0.2">
      <c r="A3" s="2" t="s">
        <v>38</v>
      </c>
      <c r="B3" s="11">
        <f>90060</f>
        <v>90060</v>
      </c>
      <c r="C3" s="14" t="s">
        <v>49</v>
      </c>
      <c r="E3" s="4"/>
    </row>
    <row r="4" spans="1:5" x14ac:dyDescent="0.2">
      <c r="A4" s="2" t="s">
        <v>55</v>
      </c>
      <c r="B4" s="15">
        <f>(3977.3+318.2)/B3</f>
        <v>4.7695980457472795E-2</v>
      </c>
      <c r="C4" s="8" t="s">
        <v>56</v>
      </c>
      <c r="D4" s="5" t="s">
        <v>58</v>
      </c>
      <c r="E4" s="4"/>
    </row>
    <row r="5" spans="1:5" x14ac:dyDescent="0.2">
      <c r="A5" s="16" t="s">
        <v>59</v>
      </c>
      <c r="B5" s="17">
        <f>B2*(1+(1-'Table B'!J18)*B4)</f>
        <v>0.83968194310702349</v>
      </c>
      <c r="D5" s="5" t="s">
        <v>62</v>
      </c>
      <c r="E5" s="4"/>
    </row>
    <row r="6" spans="1:5" x14ac:dyDescent="0.2">
      <c r="E6" s="4"/>
    </row>
    <row r="7" spans="1:5" x14ac:dyDescent="0.2">
      <c r="A7" s="2" t="s">
        <v>63</v>
      </c>
      <c r="B7" s="13">
        <v>5.2900000000000003E-2</v>
      </c>
      <c r="C7" s="14" t="s">
        <v>64</v>
      </c>
    </row>
    <row r="8" spans="1:5" x14ac:dyDescent="0.2">
      <c r="A8" s="2" t="s">
        <v>67</v>
      </c>
      <c r="B8" s="13">
        <v>4.4600000000000001E-2</v>
      </c>
      <c r="C8" s="8" t="s">
        <v>68</v>
      </c>
    </row>
    <row r="9" spans="1:5" x14ac:dyDescent="0.2">
      <c r="A9" s="16" t="s">
        <v>70</v>
      </c>
      <c r="B9" s="18">
        <f>B7+B5*B8</f>
        <v>9.0349814662573247E-2</v>
      </c>
    </row>
    <row r="11" spans="1:5" x14ac:dyDescent="0.2">
      <c r="A11" s="2" t="s">
        <v>74</v>
      </c>
      <c r="B11" s="13">
        <v>3.6999999999999998E-2</v>
      </c>
      <c r="C11" s="8" t="s">
        <v>56</v>
      </c>
    </row>
    <row r="12" spans="1:5" x14ac:dyDescent="0.2">
      <c r="A12" s="16" t="s">
        <v>76</v>
      </c>
      <c r="B12" s="18">
        <f>(1-B4)*B9+B4*B11*(1-'Table B'!J18)</f>
        <v>8.7396333513720323E-2</v>
      </c>
      <c r="D12" s="5" t="s">
        <v>77</v>
      </c>
    </row>
    <row r="13" spans="1:5" x14ac:dyDescent="0.2">
      <c r="A13" s="19"/>
      <c r="B13" s="4"/>
      <c r="C13" s="4"/>
      <c r="D13" s="4"/>
    </row>
    <row r="14" spans="1:5" x14ac:dyDescent="0.2">
      <c r="A14" s="2"/>
      <c r="B14" s="20"/>
    </row>
    <row r="15" spans="1:5" x14ac:dyDescent="0.2">
      <c r="A15" s="2"/>
      <c r="B15" s="20"/>
    </row>
    <row r="16" spans="1:5" x14ac:dyDescent="0.2">
      <c r="A16" s="2"/>
      <c r="B16" s="5"/>
      <c r="C16" s="8"/>
      <c r="D16" s="5"/>
    </row>
    <row r="17" spans="1:16" x14ac:dyDescent="0.2">
      <c r="A17" s="2"/>
      <c r="B17" s="12"/>
      <c r="C17" s="8"/>
      <c r="D17" s="5"/>
    </row>
    <row r="18" spans="1:16" x14ac:dyDescent="0.2">
      <c r="A18" s="49"/>
      <c r="B18" s="21"/>
    </row>
    <row r="19" spans="1:16" x14ac:dyDescent="0.2">
      <c r="A19" s="2"/>
      <c r="B19" s="21"/>
      <c r="C19" s="8"/>
    </row>
    <row r="20" spans="1:16" x14ac:dyDescent="0.2">
      <c r="A20" s="2"/>
      <c r="B20" s="21"/>
    </row>
    <row r="22" spans="1:16" x14ac:dyDescent="0.2">
      <c r="A22" s="22"/>
      <c r="B22" s="23"/>
    </row>
    <row r="23" spans="1:16" x14ac:dyDescent="0.2"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">
      <c r="A24" s="22"/>
      <c r="B24" s="24"/>
      <c r="C24" s="25"/>
      <c r="D24" s="25"/>
      <c r="J24" s="26"/>
      <c r="K24" s="15"/>
      <c r="L24" s="15"/>
      <c r="M24" s="15"/>
      <c r="N24" s="15"/>
      <c r="O24" s="15"/>
      <c r="P24" s="15"/>
    </row>
    <row r="25" spans="1:16" x14ac:dyDescent="0.2">
      <c r="A25" s="27"/>
      <c r="B25" s="28"/>
      <c r="C25" s="28"/>
      <c r="D25" s="28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x14ac:dyDescent="0.2">
      <c r="A26" s="30"/>
      <c r="B26" s="28"/>
      <c r="C26" s="23"/>
      <c r="D26" s="23"/>
      <c r="F26" s="15"/>
      <c r="G26" s="15"/>
      <c r="H26" s="15"/>
      <c r="I26" s="15"/>
    </row>
    <row r="27" spans="1:16" x14ac:dyDescent="0.2">
      <c r="A27" s="27"/>
      <c r="B27" s="28"/>
      <c r="C27" s="28"/>
      <c r="D27" s="28"/>
    </row>
    <row r="28" spans="1:16" x14ac:dyDescent="0.2"/>
    <row r="29" spans="1:16" x14ac:dyDescent="0.2"/>
    <row r="30" spans="1:16" x14ac:dyDescent="0.2"/>
    <row r="31" spans="1:16" x14ac:dyDescent="0.2"/>
    <row r="32" spans="1:16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</sheetData>
  <hyperlinks>
    <hyperlink ref="C2" r:id="rId1" xr:uid="{00000000-0004-0000-0300-000000000000}"/>
    <hyperlink ref="C3" r:id="rId2" location="google_vignette" xr:uid="{00000000-0004-0000-0300-000001000000}"/>
    <hyperlink ref="C4" r:id="rId3" xr:uid="{00000000-0004-0000-0300-000002000000}"/>
    <hyperlink ref="C7" r:id="rId4" xr:uid="{00000000-0004-0000-0300-000003000000}"/>
    <hyperlink ref="C8" r:id="rId5" xr:uid="{00000000-0004-0000-0300-000004000000}"/>
    <hyperlink ref="C11" r:id="rId6" xr:uid="{00000000-0004-0000-0300-000005000000}"/>
  </hyperlink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69"/>
  <sheetViews>
    <sheetView tabSelected="1" workbookViewId="0">
      <selection activeCell="F32" sqref="F32"/>
    </sheetView>
  </sheetViews>
  <sheetFormatPr baseColWidth="10" defaultColWidth="14.3984375" defaultRowHeight="15.75" customHeight="1" x14ac:dyDescent="0.2"/>
  <sheetData>
    <row r="1" spans="1:5" x14ac:dyDescent="0.2">
      <c r="A1" s="2" t="s">
        <v>160</v>
      </c>
      <c r="B1" s="38" t="s">
        <v>161</v>
      </c>
      <c r="C1" s="38" t="s">
        <v>162</v>
      </c>
      <c r="D1" s="38" t="s">
        <v>163</v>
      </c>
      <c r="E1" s="2" t="s">
        <v>2</v>
      </c>
    </row>
    <row r="2" spans="1:5" x14ac:dyDescent="0.2">
      <c r="A2" s="2" t="s">
        <v>164</v>
      </c>
      <c r="B2" s="13">
        <f>MIN('Table B'!C58:K58)</f>
        <v>0.12472413513134489</v>
      </c>
      <c r="C2" s="13">
        <f>MEDIAN('Table B'!I58:K58)</f>
        <v>0.18844633509124634</v>
      </c>
      <c r="D2" s="13">
        <f>MAX('Table B'!C58:K58)</f>
        <v>0.18890861974622902</v>
      </c>
    </row>
    <row r="3" spans="1:5" x14ac:dyDescent="0.2">
      <c r="A3" s="2" t="s">
        <v>165</v>
      </c>
      <c r="B3" s="13">
        <f>MIN('Table B'!C59:K59)</f>
        <v>0.61660079051383399</v>
      </c>
      <c r="C3" s="13">
        <f>MEDIAN('Table B'!C59:K59)</f>
        <v>0.76882007474639613</v>
      </c>
      <c r="D3" s="13">
        <f>MAX('Table B'!C59:K59)</f>
        <v>0.85866477272727271</v>
      </c>
    </row>
    <row r="4" spans="1:5" x14ac:dyDescent="0.2">
      <c r="A4" s="2" t="s">
        <v>166</v>
      </c>
      <c r="B4" s="12">
        <f>'Table B'!K68</f>
        <v>40410.699999999997</v>
      </c>
      <c r="C4" s="12">
        <f>'Table B'!K68</f>
        <v>40410.699999999997</v>
      </c>
      <c r="D4" s="12">
        <f>'Table B'!K68</f>
        <v>40410.699999999997</v>
      </c>
    </row>
    <row r="5" spans="1:5" x14ac:dyDescent="0.2">
      <c r="A5" s="2" t="s">
        <v>144</v>
      </c>
      <c r="B5" s="13">
        <f>MIN('Table B'!C69:K69)</f>
        <v>1.4E-2</v>
      </c>
      <c r="C5" s="13">
        <f>MEDIAN('Table B'!C69:K69)</f>
        <v>2.1999999999999999E-2</v>
      </c>
      <c r="D5" s="13">
        <f>'Table B'!K69</f>
        <v>3.4000000000000002E-2</v>
      </c>
    </row>
    <row r="6" spans="1:5" x14ac:dyDescent="0.2">
      <c r="A6" s="2" t="s">
        <v>167</v>
      </c>
      <c r="B6" s="13">
        <f>-0.1+0.024</f>
        <v>-7.6000000000000012E-2</v>
      </c>
      <c r="C6" s="13">
        <v>0.05</v>
      </c>
      <c r="D6" s="13">
        <v>7.0000000000000007E-2</v>
      </c>
      <c r="E6" s="8" t="s">
        <v>168</v>
      </c>
    </row>
    <row r="7" spans="1:5" x14ac:dyDescent="0.2">
      <c r="A7" s="2" t="s">
        <v>169</v>
      </c>
      <c r="B7" s="13">
        <v>0</v>
      </c>
      <c r="C7" s="13">
        <f>'Table G'!B19+0.024</f>
        <v>2.4E-2</v>
      </c>
      <c r="D7" s="13">
        <f>'Table G'!B19+0.024</f>
        <v>2.4E-2</v>
      </c>
      <c r="E7" s="5"/>
    </row>
    <row r="8" spans="1:5" x14ac:dyDescent="0.2">
      <c r="A8" s="2" t="s">
        <v>170</v>
      </c>
      <c r="B8" s="13">
        <v>0</v>
      </c>
      <c r="C8" s="13">
        <f>'Table G'!B26</f>
        <v>0</v>
      </c>
      <c r="D8" s="13">
        <f>'Table G'!B27</f>
        <v>0</v>
      </c>
      <c r="E8" s="8" t="s">
        <v>94</v>
      </c>
    </row>
    <row r="9" spans="1:5" x14ac:dyDescent="0.2">
      <c r="A9" s="2" t="s">
        <v>182</v>
      </c>
      <c r="B9" s="12">
        <f>MAX('Table B'!C65:K65)</f>
        <v>2043.4</v>
      </c>
      <c r="C9" s="12">
        <f>MEDIAN('Table B'!C65:K65)</f>
        <v>766.09999999999991</v>
      </c>
      <c r="D9" s="12">
        <f>MIN('Table B'!C65:K65)</f>
        <v>407.90000000000009</v>
      </c>
    </row>
    <row r="10" spans="1:5" x14ac:dyDescent="0.2">
      <c r="A10" s="2" t="s">
        <v>183</v>
      </c>
      <c r="B10" s="5">
        <v>402.5</v>
      </c>
      <c r="C10" s="15">
        <f t="shared" ref="C10:D10" si="0">402.5*(1-0.01)^10</f>
        <v>364.01378519104372</v>
      </c>
      <c r="D10" s="15">
        <f t="shared" si="0"/>
        <v>364.01378519104372</v>
      </c>
      <c r="E10" s="8" t="s">
        <v>56</v>
      </c>
    </row>
    <row r="12" spans="1:5" x14ac:dyDescent="0.2">
      <c r="A12" s="2" t="s">
        <v>184</v>
      </c>
    </row>
    <row r="13" spans="1:5" x14ac:dyDescent="0.2">
      <c r="A13" s="5">
        <v>1</v>
      </c>
      <c r="B13" s="3">
        <f>('Table B'!$K$3-'Table B'!$K$7)*(1+$B$6)^A13</f>
        <v>19027.562399999999</v>
      </c>
      <c r="C13" s="3">
        <f>('Table B'!$K$3-'Table B'!$K$7)*(1+$C$6)^A13</f>
        <v>21622.230000000003</v>
      </c>
      <c r="D13" s="3">
        <f>('Table B'!$K$3-'Table B'!$K$7)*(1+$D$6)^A13</f>
        <v>22034.082000000002</v>
      </c>
    </row>
    <row r="14" spans="1:5" x14ac:dyDescent="0.2">
      <c r="A14" s="5">
        <v>2</v>
      </c>
      <c r="B14" s="3">
        <f>('Table B'!$K$3-'Table B'!$K$7)*(1+$B$6)^A14</f>
        <v>17581.467657599998</v>
      </c>
      <c r="C14" s="3">
        <f>('Table B'!$K$3-'Table B'!$K$7)*(1+$C$6)^A14</f>
        <v>22703.341500000002</v>
      </c>
      <c r="D14" s="3">
        <f>('Table B'!$K$3-'Table B'!$K$7)*(1+$D$6)^A14</f>
        <v>23576.467740000004</v>
      </c>
    </row>
    <row r="15" spans="1:5" x14ac:dyDescent="0.2">
      <c r="A15" s="5">
        <v>3</v>
      </c>
      <c r="B15" s="3">
        <f>('Table B'!$K$3-'Table B'!$K$7)*(1+$B$6)^A15</f>
        <v>16245.276115622399</v>
      </c>
      <c r="C15" s="3">
        <f>('Table B'!$K$3-'Table B'!$K$7)*(1+$C$6)^A15</f>
        <v>23838.508575000003</v>
      </c>
      <c r="D15" s="3">
        <f>('Table B'!$K$3-'Table B'!$K$7)*(1+$D$6)^A15</f>
        <v>25226.820481800005</v>
      </c>
    </row>
    <row r="16" spans="1:5" x14ac:dyDescent="0.2">
      <c r="A16" s="5">
        <v>4</v>
      </c>
      <c r="B16" s="3">
        <f>('Table B'!$K$3-'Table B'!$K$7)*(1+$B$6)^A16</f>
        <v>15010.635130835093</v>
      </c>
      <c r="C16" s="3">
        <f>('Table B'!$K$3-'Table B'!$K$7)*(1+$C$6)^A16</f>
        <v>25030.434003750004</v>
      </c>
      <c r="D16" s="3">
        <f>('Table B'!$K$3-'Table B'!$K$7)*(1+$D$6)^A16</f>
        <v>26992.697915526001</v>
      </c>
    </row>
    <row r="17" spans="1:4" x14ac:dyDescent="0.2">
      <c r="A17" s="5">
        <v>5</v>
      </c>
      <c r="B17" s="3">
        <f>('Table B'!$K$3-'Table B'!$K$7)*(1+$B$6)^A17</f>
        <v>13869.826860891626</v>
      </c>
      <c r="C17" s="3">
        <f>('Table B'!$K$3-'Table B'!$K$7)*(1+$C$6)^A17</f>
        <v>26281.955703937507</v>
      </c>
      <c r="D17" s="3">
        <f>('Table B'!$K$3-'Table B'!$K$7)*(1+$D$6)^A17</f>
        <v>28882.186769612825</v>
      </c>
    </row>
    <row r="18" spans="1:4" x14ac:dyDescent="0.2">
      <c r="A18" s="5">
        <v>6</v>
      </c>
      <c r="B18" s="3">
        <f t="shared" ref="B18:B22" si="1">$B$17*(1+$B$7)^A13</f>
        <v>13869.826860891626</v>
      </c>
      <c r="C18" s="3">
        <f t="shared" ref="C18:C22" si="2">$C$17*(1+$C$7)^A13</f>
        <v>26912.722640832006</v>
      </c>
      <c r="D18" s="3">
        <f t="shared" ref="D18:D22" si="3">$D$17*(1+$D$7)^A13</f>
        <v>29575.359252083534</v>
      </c>
    </row>
    <row r="19" spans="1:4" x14ac:dyDescent="0.2">
      <c r="A19" s="5">
        <v>7</v>
      </c>
      <c r="B19" s="3">
        <f t="shared" si="1"/>
        <v>13869.826860891626</v>
      </c>
      <c r="C19" s="3">
        <f t="shared" si="2"/>
        <v>27558.627984211973</v>
      </c>
      <c r="D19" s="3">
        <f t="shared" si="3"/>
        <v>30285.167874133534</v>
      </c>
    </row>
    <row r="20" spans="1:4" x14ac:dyDescent="0.2">
      <c r="A20" s="5">
        <v>8</v>
      </c>
      <c r="B20" s="3">
        <f t="shared" si="1"/>
        <v>13869.826860891626</v>
      </c>
      <c r="C20" s="3">
        <f t="shared" si="2"/>
        <v>28220.035055833065</v>
      </c>
      <c r="D20" s="3">
        <f t="shared" si="3"/>
        <v>31012.011903112743</v>
      </c>
    </row>
    <row r="21" spans="1:4" x14ac:dyDescent="0.2">
      <c r="A21" s="5">
        <v>9</v>
      </c>
      <c r="B21" s="3">
        <f t="shared" si="1"/>
        <v>13869.826860891626</v>
      </c>
      <c r="C21" s="3">
        <f t="shared" si="2"/>
        <v>28897.315897173055</v>
      </c>
      <c r="D21" s="3">
        <f t="shared" si="3"/>
        <v>31756.300188787449</v>
      </c>
    </row>
    <row r="22" spans="1:4" x14ac:dyDescent="0.2">
      <c r="A22" s="5">
        <v>10</v>
      </c>
      <c r="B22" s="3">
        <f t="shared" si="1"/>
        <v>13869.826860891626</v>
      </c>
      <c r="C22" s="3">
        <f t="shared" si="2"/>
        <v>29590.851478705212</v>
      </c>
      <c r="D22" s="3">
        <f t="shared" si="3"/>
        <v>32518.451393318348</v>
      </c>
    </row>
    <row r="23" spans="1:4" x14ac:dyDescent="0.2">
      <c r="A23" s="5">
        <v>11</v>
      </c>
      <c r="B23" s="3">
        <f t="shared" ref="B23:D23" si="4">B22*(1+B8)</f>
        <v>13869.826860891626</v>
      </c>
      <c r="C23" s="3">
        <f t="shared" si="4"/>
        <v>29590.851478705212</v>
      </c>
      <c r="D23" s="3">
        <f t="shared" si="4"/>
        <v>32518.451393318348</v>
      </c>
    </row>
    <row r="25" spans="1:4" x14ac:dyDescent="0.2">
      <c r="A25" s="2" t="s">
        <v>185</v>
      </c>
    </row>
    <row r="26" spans="1:4" x14ac:dyDescent="0.2">
      <c r="A26" s="5">
        <v>1</v>
      </c>
      <c r="B26" s="3">
        <f t="shared" ref="B26:B30" si="5">($B$4*(1+$B$6)^A26)*$B$5</f>
        <v>522.75281519999987</v>
      </c>
      <c r="C26" s="3">
        <f t="shared" ref="C26:C30" si="6">($C$4*(1+$C$6)^A26)*$C$5</f>
        <v>933.48716999999999</v>
      </c>
      <c r="D26" s="3">
        <f t="shared" ref="D26:D30" si="7">($D$4*(1+$D$6)^A26)*$D$5</f>
        <v>1470.1412660000001</v>
      </c>
    </row>
    <row r="27" spans="1:4" x14ac:dyDescent="0.2">
      <c r="A27" s="5">
        <v>2</v>
      </c>
      <c r="B27" s="3">
        <f t="shared" si="5"/>
        <v>483.02360124479992</v>
      </c>
      <c r="C27" s="3">
        <f t="shared" si="6"/>
        <v>980.16152849999992</v>
      </c>
      <c r="D27" s="3">
        <f t="shared" si="7"/>
        <v>1573.05115462</v>
      </c>
    </row>
    <row r="28" spans="1:4" x14ac:dyDescent="0.2">
      <c r="A28" s="5">
        <v>3</v>
      </c>
      <c r="B28" s="3">
        <f t="shared" si="5"/>
        <v>446.31380755019512</v>
      </c>
      <c r="C28" s="3">
        <f t="shared" si="6"/>
        <v>1029.1696049249999</v>
      </c>
      <c r="D28" s="3">
        <f t="shared" si="7"/>
        <v>1683.1647354434001</v>
      </c>
    </row>
    <row r="29" spans="1:4" x14ac:dyDescent="0.2">
      <c r="A29" s="5">
        <v>4</v>
      </c>
      <c r="B29" s="3">
        <f t="shared" si="5"/>
        <v>412.39395817638024</v>
      </c>
      <c r="C29" s="3">
        <f t="shared" si="6"/>
        <v>1080.6280851712497</v>
      </c>
      <c r="D29" s="3">
        <f t="shared" si="7"/>
        <v>1800.986266924438</v>
      </c>
    </row>
    <row r="30" spans="1:4" x14ac:dyDescent="0.2">
      <c r="A30" s="5">
        <v>5</v>
      </c>
      <c r="B30" s="3">
        <f t="shared" si="5"/>
        <v>381.05201735497525</v>
      </c>
      <c r="C30" s="3">
        <f t="shared" si="6"/>
        <v>1134.6594894298125</v>
      </c>
      <c r="D30" s="3">
        <f t="shared" si="7"/>
        <v>1927.0553056091487</v>
      </c>
    </row>
    <row r="31" spans="1:4" x14ac:dyDescent="0.2">
      <c r="A31" s="5">
        <v>6</v>
      </c>
      <c r="B31" s="3">
        <f t="shared" ref="B31:B35" si="8">((($B$4*(1+$B$6)^$A$30))*(1+$B$7)^A26)*$B$5</f>
        <v>381.05201735497525</v>
      </c>
      <c r="C31" s="3">
        <f t="shared" ref="C31:C35" si="9">((($C$4*(1+$C$6)^$A$30))*(1+$C$7)^A26)*$C$5</f>
        <v>1161.891317176128</v>
      </c>
      <c r="D31" s="3">
        <f>D30*(1+D8)</f>
        <v>1927.0553056091487</v>
      </c>
    </row>
    <row r="32" spans="1:4" x14ac:dyDescent="0.2">
      <c r="A32" s="5">
        <v>7</v>
      </c>
      <c r="B32" s="3">
        <f t="shared" si="8"/>
        <v>381.05201735497525</v>
      </c>
      <c r="C32" s="3">
        <f t="shared" si="9"/>
        <v>1189.7767087883549</v>
      </c>
      <c r="D32" s="3">
        <f t="shared" ref="D32:D35" si="10">((($D$4*(1+$D$6)^$A$30))*(1+$D$7)^A27)*$D$5</f>
        <v>2020.6639441344189</v>
      </c>
    </row>
    <row r="33" spans="1:4" x14ac:dyDescent="0.2">
      <c r="A33" s="5">
        <v>8</v>
      </c>
      <c r="B33" s="3">
        <f t="shared" si="8"/>
        <v>381.05201735497525</v>
      </c>
      <c r="C33" s="3">
        <f t="shared" si="9"/>
        <v>1218.3313497992756</v>
      </c>
      <c r="D33" s="3">
        <f t="shared" si="10"/>
        <v>2069.159878793645</v>
      </c>
    </row>
    <row r="34" spans="1:4" x14ac:dyDescent="0.2">
      <c r="A34" s="5">
        <v>9</v>
      </c>
      <c r="B34" s="3">
        <f t="shared" si="8"/>
        <v>381.05201735497525</v>
      </c>
      <c r="C34" s="3">
        <f t="shared" si="9"/>
        <v>1247.5713021944582</v>
      </c>
      <c r="D34" s="3">
        <f t="shared" si="10"/>
        <v>2118.8197158846924</v>
      </c>
    </row>
    <row r="35" spans="1:4" x14ac:dyDescent="0.2">
      <c r="A35" s="5">
        <v>10</v>
      </c>
      <c r="B35" s="3">
        <f t="shared" si="8"/>
        <v>381.05201735497525</v>
      </c>
      <c r="C35" s="3">
        <f t="shared" si="9"/>
        <v>1277.5130134471251</v>
      </c>
      <c r="D35" s="3">
        <f t="shared" si="10"/>
        <v>2169.6713890659253</v>
      </c>
    </row>
    <row r="36" spans="1:4" x14ac:dyDescent="0.2">
      <c r="A36" s="5">
        <v>11</v>
      </c>
      <c r="B36" s="3">
        <f t="shared" ref="B36:D36" si="11">B35*(1+B8)</f>
        <v>381.05201735497525</v>
      </c>
      <c r="C36" s="3">
        <f t="shared" si="11"/>
        <v>1277.5130134471251</v>
      </c>
      <c r="D36" s="3">
        <f t="shared" si="11"/>
        <v>2169.6713890659253</v>
      </c>
    </row>
    <row r="38" spans="1:4" x14ac:dyDescent="0.2">
      <c r="A38" s="2" t="s">
        <v>186</v>
      </c>
    </row>
    <row r="39" spans="1:4" x14ac:dyDescent="0.2">
      <c r="A39" s="5">
        <v>1</v>
      </c>
      <c r="B39" s="3">
        <f t="shared" ref="B39:B49" si="12">B13*$B$2+B26*$B$3</f>
        <v>2695.526063093349</v>
      </c>
      <c r="C39" s="3">
        <f t="shared" ref="C39:C49" si="13">C13*$C$2+C26*$C$3</f>
        <v>4792.3136758142018</v>
      </c>
      <c r="D39" s="3">
        <f t="shared" ref="D39:D49" si="14">D13*$D$2+D26*$D$3</f>
        <v>5424.7865340421049</v>
      </c>
    </row>
    <row r="40" spans="1:4" x14ac:dyDescent="0.2">
      <c r="A40" s="5">
        <v>2</v>
      </c>
      <c r="B40" s="3">
        <f t="shared" si="12"/>
        <v>2490.6660822982549</v>
      </c>
      <c r="C40" s="3">
        <f t="shared" si="13"/>
        <v>5031.929359604912</v>
      </c>
      <c r="D40" s="3">
        <f t="shared" si="14"/>
        <v>5804.5215914250521</v>
      </c>
    </row>
    <row r="41" spans="1:4" x14ac:dyDescent="0.2">
      <c r="A41" s="5">
        <v>3</v>
      </c>
      <c r="B41" s="3">
        <f t="shared" si="12"/>
        <v>2301.3754600435873</v>
      </c>
      <c r="C41" s="3">
        <f t="shared" si="13"/>
        <v>5283.5258275851575</v>
      </c>
      <c r="D41" s="3">
        <f t="shared" si="14"/>
        <v>6210.8381028248059</v>
      </c>
    </row>
    <row r="42" spans="1:4" x14ac:dyDescent="0.2">
      <c r="A42" s="5">
        <v>4</v>
      </c>
      <c r="B42" s="3">
        <f t="shared" si="12"/>
        <v>2126.4709250802739</v>
      </c>
      <c r="C42" s="3">
        <f t="shared" si="13"/>
        <v>5547.7021189644156</v>
      </c>
      <c r="D42" s="3">
        <f t="shared" si="14"/>
        <v>6645.5967700225419</v>
      </c>
    </row>
    <row r="43" spans="1:4" x14ac:dyDescent="0.2">
      <c r="A43" s="5">
        <v>5</v>
      </c>
      <c r="B43" s="3">
        <f t="shared" si="12"/>
        <v>1964.8591347741733</v>
      </c>
      <c r="C43" s="3">
        <f t="shared" si="13"/>
        <v>5825.087224912636</v>
      </c>
      <c r="D43" s="3">
        <f t="shared" si="14"/>
        <v>7110.7885439241209</v>
      </c>
    </row>
    <row r="44" spans="1:4" x14ac:dyDescent="0.2">
      <c r="A44" s="5">
        <v>6</v>
      </c>
      <c r="B44" s="3">
        <f t="shared" si="12"/>
        <v>1964.8591347741733</v>
      </c>
      <c r="C44" s="3">
        <f t="shared" si="13"/>
        <v>5964.8893183105401</v>
      </c>
      <c r="D44" s="3">
        <f t="shared" si="14"/>
        <v>7241.7348008337294</v>
      </c>
    </row>
    <row r="45" spans="1:4" x14ac:dyDescent="0.2">
      <c r="A45" s="5">
        <v>7</v>
      </c>
      <c r="B45" s="3">
        <f t="shared" si="12"/>
        <v>1964.8591347741733</v>
      </c>
      <c r="C45" s="3">
        <f t="shared" si="13"/>
        <v>6108.0466619499921</v>
      </c>
      <c r="D45" s="3">
        <f t="shared" si="14"/>
        <v>7456.2022082337789</v>
      </c>
    </row>
    <row r="46" spans="1:4" x14ac:dyDescent="0.2">
      <c r="A46" s="5">
        <v>8</v>
      </c>
      <c r="B46" s="3">
        <f t="shared" si="12"/>
        <v>1964.8591347741733</v>
      </c>
      <c r="C46" s="3">
        <f t="shared" si="13"/>
        <v>6254.6397818367923</v>
      </c>
      <c r="D46" s="3">
        <f t="shared" si="14"/>
        <v>7635.1510612313896</v>
      </c>
    </row>
    <row r="47" spans="1:4" x14ac:dyDescent="0.2">
      <c r="A47" s="5">
        <v>9</v>
      </c>
      <c r="B47" s="3">
        <f t="shared" si="12"/>
        <v>1964.8591347741733</v>
      </c>
      <c r="C47" s="3">
        <f t="shared" si="13"/>
        <v>6404.7511366008757</v>
      </c>
      <c r="D47" s="3">
        <f t="shared" si="14"/>
        <v>7818.3946867009436</v>
      </c>
    </row>
    <row r="48" spans="1:4" x14ac:dyDescent="0.2">
      <c r="A48" s="5">
        <v>10</v>
      </c>
      <c r="B48" s="3">
        <f t="shared" si="12"/>
        <v>1964.8591347741733</v>
      </c>
      <c r="C48" s="3">
        <f t="shared" si="13"/>
        <v>6558.4651638792975</v>
      </c>
      <c r="D48" s="3">
        <f t="shared" si="14"/>
        <v>8006.0361591817655</v>
      </c>
    </row>
    <row r="49" spans="1:4" x14ac:dyDescent="0.2">
      <c r="A49" s="5">
        <v>11</v>
      </c>
      <c r="B49" s="3">
        <f t="shared" si="12"/>
        <v>1964.8591347741733</v>
      </c>
      <c r="C49" s="3">
        <f t="shared" si="13"/>
        <v>6558.4651638792975</v>
      </c>
      <c r="D49" s="3">
        <f t="shared" si="14"/>
        <v>8006.0361591817655</v>
      </c>
    </row>
    <row r="51" spans="1:4" x14ac:dyDescent="0.2">
      <c r="A51" s="2" t="s">
        <v>187</v>
      </c>
    </row>
    <row r="52" spans="1:4" x14ac:dyDescent="0.2">
      <c r="A52" s="5">
        <v>1</v>
      </c>
      <c r="B52" s="3">
        <f>B39/((1+'Table G'!$B$12)^A52)</f>
        <v>2478.8809562960864</v>
      </c>
      <c r="C52" s="3">
        <f>C39/((1+'Table G'!$B$12)^A52)</f>
        <v>4407.1453324922722</v>
      </c>
      <c r="D52" s="3">
        <f>D39/((1+'Table G'!$B$12)^A52)</f>
        <v>4988.7850150394661</v>
      </c>
    </row>
    <row r="53" spans="1:4" x14ac:dyDescent="0.2">
      <c r="A53" s="5">
        <v>2</v>
      </c>
      <c r="B53" s="3">
        <f>B40/((1+'Table G'!$B$12)^A53)</f>
        <v>2106.3948194641248</v>
      </c>
      <c r="C53" s="3">
        <f>C40/((1+'Table G'!$B$12)^A53)</f>
        <v>4255.580469141335</v>
      </c>
      <c r="D53" s="3">
        <f>D40/((1+'Table G'!$B$12)^A53)</f>
        <v>4908.9736663388112</v>
      </c>
    </row>
    <row r="54" spans="1:4" x14ac:dyDescent="0.2">
      <c r="A54" s="5">
        <v>3</v>
      </c>
      <c r="B54" s="3">
        <f>B41/((1+'Table G'!$B$12)^A54)</f>
        <v>1789.879874705586</v>
      </c>
      <c r="C54" s="3">
        <f>C41/((1+'Table G'!$B$12)^A54)</f>
        <v>4109.2280292685227</v>
      </c>
      <c r="D54" s="3">
        <f>D41/((1+'Table G'!$B$12)^A54)</f>
        <v>4830.4391518497368</v>
      </c>
    </row>
    <row r="55" spans="1:4" x14ac:dyDescent="0.2">
      <c r="A55" s="5">
        <v>4</v>
      </c>
      <c r="B55" s="3">
        <f>B42/((1+'Table G'!$B$12)^A55)</f>
        <v>1520.925676550567</v>
      </c>
      <c r="C55" s="3">
        <f>C42/((1+'Table G'!$B$12)^A55)</f>
        <v>3967.9087539221578</v>
      </c>
      <c r="D55" s="3">
        <f>D42/((1+'Table G'!$B$12)^A55)</f>
        <v>4753.1610445824663</v>
      </c>
    </row>
    <row r="56" spans="1:4" x14ac:dyDescent="0.2">
      <c r="A56" s="5">
        <v>5</v>
      </c>
      <c r="B56" s="3">
        <f>B43/((1+'Table G'!$B$12)^A56)</f>
        <v>1292.385565244314</v>
      </c>
      <c r="C56" s="3">
        <f>C43/((1+'Table G'!$B$12)^A56)</f>
        <v>3831.4495489934416</v>
      </c>
      <c r="D56" s="3">
        <f>D43/((1+'Table G'!$B$12)^A56)</f>
        <v>4677.1192443413438</v>
      </c>
    </row>
    <row r="57" spans="1:4" x14ac:dyDescent="0.2">
      <c r="A57" s="5">
        <v>6</v>
      </c>
      <c r="B57" s="3">
        <f>B44/((1+'Table G'!$B$12)^A57)</f>
        <v>1188.5138154440976</v>
      </c>
      <c r="C57" s="3">
        <f>C44/((1+'Table G'!$B$12)^A57)</f>
        <v>3608.0720683428544</v>
      </c>
      <c r="D57" s="3">
        <f>D44/((1+'Table G'!$B$12)^A57)</f>
        <v>4380.4167465483033</v>
      </c>
    </row>
    <row r="58" spans="1:4" x14ac:dyDescent="0.2">
      <c r="A58" s="5">
        <v>7</v>
      </c>
      <c r="B58" s="3">
        <f>B45/((1+'Table G'!$B$12)^A58)</f>
        <v>1092.9904569418904</v>
      </c>
      <c r="C58" s="3">
        <f>C45/((1+'Table G'!$B$12)^A58)</f>
        <v>3397.7177263826634</v>
      </c>
      <c r="D58" s="3">
        <f>D45/((1+'Table G'!$B$12)^A58)</f>
        <v>4147.6550223867434</v>
      </c>
    </row>
    <row r="59" spans="1:4" x14ac:dyDescent="0.2">
      <c r="A59" s="5">
        <v>8</v>
      </c>
      <c r="B59" s="3">
        <f>B46/((1+'Table G'!$B$12)^A59)</f>
        <v>1005.1445119463425</v>
      </c>
      <c r="C59" s="3">
        <f>C46/((1+'Table G'!$B$12)^A59)</f>
        <v>3199.6272606265393</v>
      </c>
      <c r="D59" s="3">
        <f>D46/((1+'Table G'!$B$12)^A59)</f>
        <v>3905.8424348369722</v>
      </c>
    </row>
    <row r="60" spans="1:4" x14ac:dyDescent="0.2">
      <c r="A60" s="5">
        <v>9</v>
      </c>
      <c r="B60" s="3">
        <f>B47/((1+'Table G'!$B$12)^A60)</f>
        <v>924.3589305643543</v>
      </c>
      <c r="C60" s="3">
        <f>C47/((1+'Table G'!$B$12)^A60)</f>
        <v>3013.085674378206</v>
      </c>
      <c r="D60" s="3">
        <f>D47/((1+'Table G'!$B$12)^A60)</f>
        <v>3678.1277718209217</v>
      </c>
    </row>
    <row r="61" spans="1:4" x14ac:dyDescent="0.2">
      <c r="A61" s="5">
        <v>10</v>
      </c>
      <c r="B61" s="3">
        <f>B48/((1+'Table G'!$B$12)^A61)</f>
        <v>850.0662565023182</v>
      </c>
      <c r="C61" s="3">
        <f>C48/((1+'Table G'!$B$12)^A61)</f>
        <v>2837.4196559899965</v>
      </c>
      <c r="D61" s="3">
        <f>D48/((1+'Table G'!$B$12)^A61)</f>
        <v>3463.6891097233975</v>
      </c>
    </row>
    <row r="62" spans="1:4" x14ac:dyDescent="0.2">
      <c r="A62" s="5">
        <v>11</v>
      </c>
      <c r="B62" s="3">
        <f>(B49/('Table G'!$B$12-B8))*(1/((1+'Table G'!$B$12)^$A$62))</f>
        <v>8944.8219358235328</v>
      </c>
      <c r="C62" s="3">
        <f>(C49/('Table G'!$B$12-C8))*(1/((1+'Table G'!$B$12)^$A$62))</f>
        <v>29856.747501618975</v>
      </c>
      <c r="D62" s="3">
        <f>(D49/('Table G'!$B$12-D8))*(1/((1+'Table G'!$B$12)^$A$62))</f>
        <v>36446.667645655965</v>
      </c>
    </row>
    <row r="63" spans="1:4" x14ac:dyDescent="0.2">
      <c r="A63" s="2" t="s">
        <v>188</v>
      </c>
      <c r="B63" s="1">
        <f t="shared" ref="B63:D63" si="15">SUM(B52:B62)</f>
        <v>23194.362799483213</v>
      </c>
      <c r="C63" s="1">
        <f t="shared" si="15"/>
        <v>66483.98202115696</v>
      </c>
      <c r="D63" s="1">
        <f t="shared" si="15"/>
        <v>80180.876853124122</v>
      </c>
    </row>
    <row r="65" spans="1:4" x14ac:dyDescent="0.2">
      <c r="A65" s="2" t="s">
        <v>189</v>
      </c>
      <c r="B65" s="15">
        <f t="shared" ref="B65:D65" si="16">(B63-B9)/B10</f>
        <v>52.548975899337172</v>
      </c>
      <c r="C65" s="15">
        <f t="shared" si="16"/>
        <v>180.53679474437084</v>
      </c>
      <c r="D65" s="15">
        <f t="shared" si="16"/>
        <v>219.14823036511442</v>
      </c>
    </row>
    <row r="66" spans="1:4" x14ac:dyDescent="0.2">
      <c r="A66" s="2" t="s">
        <v>190</v>
      </c>
      <c r="B66" s="13">
        <v>0.05</v>
      </c>
      <c r="C66" s="13">
        <f>1-B66-D66</f>
        <v>0.85</v>
      </c>
      <c r="D66" s="13">
        <v>0.1</v>
      </c>
    </row>
    <row r="67" spans="1:4" x14ac:dyDescent="0.2">
      <c r="A67" s="2" t="s">
        <v>191</v>
      </c>
      <c r="B67" s="15">
        <f>B65*B66+C65*C66+D65*D66</f>
        <v>177.99854736419351</v>
      </c>
    </row>
    <row r="69" spans="1:4" x14ac:dyDescent="0.2">
      <c r="A69" s="2" t="s">
        <v>192</v>
      </c>
      <c r="B69" s="15">
        <f>B67/1.25</f>
        <v>142.39883789135482</v>
      </c>
      <c r="C69" s="15"/>
      <c r="D69" s="3"/>
    </row>
  </sheetData>
  <hyperlinks>
    <hyperlink ref="E6" r:id="rId1" xr:uid="{00000000-0004-0000-0400-000000000000}"/>
    <hyperlink ref="E8" r:id="rId2" xr:uid="{00000000-0004-0000-0400-000001000000}"/>
    <hyperlink ref="E10" r:id="rId3" xr:uid="{00000000-0004-0000-04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B</vt:lpstr>
      <vt:lpstr>Table C</vt:lpstr>
      <vt:lpstr>Table G</vt:lpstr>
      <vt:lpstr>Table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Åberg</cp:lastModifiedBy>
  <dcterms:created xsi:type="dcterms:W3CDTF">2026-10-07T17:04:28Z</dcterms:created>
  <dcterms:modified xsi:type="dcterms:W3CDTF">2026-10-07T17:58:25Z</dcterms:modified>
</cp:coreProperties>
</file>